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U:\LICITACAO_2024\Obras\Sede dos Conselhos 2º Etapa_OK\"/>
    </mc:Choice>
  </mc:AlternateContent>
  <xr:revisionPtr revIDLastSave="0" documentId="8_{A690763C-4898-4EFB-9E58-DB56BC8223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rçamento" sheetId="7" r:id="rId1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RE" hidden="1">#REF!</definedName>
    <definedName name="ademir" hidden="1">{#N/A,#N/A,FALSE,"Cronograma";#N/A,#N/A,FALSE,"Cronogr. 2"}</definedName>
    <definedName name="Aditivo_55m" hidden="1">#REF!</definedName>
    <definedName name="_xlnm.Print_Area" localSheetId="0">Orçamento!$A$1:$P$237</definedName>
    <definedName name="bosta" hidden="1">{#N/A,#N/A,FALSE,"Cronograma";#N/A,#N/A,FALSE,"Cronogr. 2"}</definedName>
    <definedName name="BRHJGOUUCG" hidden="1">#REF!</definedName>
    <definedName name="BXQHSWXMRV" hidden="1">#REF!</definedName>
    <definedName name="CA´L" hidden="1">{#N/A,#N/A,FALSE,"Cronograma";#N/A,#N/A,FALSE,"Cronogr. 2"}</definedName>
    <definedName name="CNNLIWNNYW" hidden="1">#REF!</definedName>
    <definedName name="Cobertura_modelo_pop" hidden="1">#REF!</definedName>
    <definedName name="concorrentes" hidden="1">{#N/A,#N/A,FALSE,"Cronograma";#N/A,#N/A,FALSE,"Cronogr. 2"}</definedName>
    <definedName name="DAIKOLXHXC" hidden="1">#REF!</definedName>
    <definedName name="Diferença_de_pesos" hidden="1">#REF!</definedName>
    <definedName name="EEGPZEHVUR" hidden="1">#REF!</definedName>
    <definedName name="EGEFBMPJUH" hidden="1">#REF!</definedName>
    <definedName name="GEMVODUGLB" hidden="1">#REF!</definedName>
    <definedName name="HAQSZQJJXH" hidden="1">#REF!</definedName>
    <definedName name="HFJZVXGIKG" hidden="1">#REF!</definedName>
    <definedName name="HZCZQRBQEV" hidden="1">#REF!</definedName>
    <definedName name="IELZYZMUSY" hidden="1">#REF!</definedName>
    <definedName name="JBEDSDWDSA" hidden="1">#REF!</definedName>
    <definedName name="JOVUEUIZPJ" hidden="1">#REF!</definedName>
    <definedName name="JQMVVHQZHQ" hidden="1">#REF!</definedName>
    <definedName name="JTZHIBNCBN" hidden="1">#REF!</definedName>
    <definedName name="JYKKXIZZCN" hidden="1">#REF!</definedName>
    <definedName name="KFGTVTGSZB" hidden="1">#REF!</definedName>
    <definedName name="KLWPNNJBRB" hidden="1">#REF!</definedName>
    <definedName name="Mat" hidden="1">#REF!</definedName>
    <definedName name="Material" hidden="1">#REF!</definedName>
    <definedName name="MCRWXOVTHS" hidden="1">#REF!</definedName>
    <definedName name="NLXQXITZYY" hidden="1">#REF!</definedName>
    <definedName name="PKNTSHYCBD" hidden="1">#REF!</definedName>
    <definedName name="Popular" hidden="1">{#N/A,#N/A,FALSE,"Cronograma";#N/A,#N/A,FALSE,"Cronogr. 2"}</definedName>
    <definedName name="rio" hidden="1">{#N/A,#N/A,FALSE,"Cronograma";#N/A,#N/A,FALSE,"Cronogr. 2"}</definedName>
    <definedName name="RTDCURKAAC" hidden="1">#REF!</definedName>
    <definedName name="SINAPI_AC" hidden="1">#REF!</definedName>
    <definedName name="ss" hidden="1">{#N/A,#N/A,FALSE,"Cronograma";#N/A,#N/A,FALSE,"Cronogr. 2"}</definedName>
    <definedName name="Sugestão" hidden="1">#REF!</definedName>
    <definedName name="_xlnm.Print_Titles" localSheetId="0">Orçamento!$109:$111</definedName>
    <definedName name="TTBILMJNUT" hidden="1">#REF!</definedName>
    <definedName name="UFGNVOTITV" hidden="1">#REF!</definedName>
    <definedName name="UKBALFKBBW" hidden="1">#REF!</definedName>
    <definedName name="VTYLRQEYAB" hidden="1">#REF!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ZGYLVHFASF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7" l="1"/>
  <c r="G24" i="7" s="1"/>
  <c r="M12" i="7"/>
  <c r="M13" i="7"/>
  <c r="G14" i="7"/>
  <c r="G15" i="7" s="1"/>
  <c r="M15" i="7" s="1"/>
  <c r="M17" i="7"/>
  <c r="M18" i="7"/>
  <c r="M19" i="7"/>
  <c r="M20" i="7"/>
  <c r="G23" i="7"/>
  <c r="M23" i="7"/>
  <c r="M25" i="7"/>
  <c r="M27" i="7"/>
  <c r="I28" i="7"/>
  <c r="M28" i="7" s="1"/>
  <c r="G30" i="7"/>
  <c r="M30" i="7"/>
  <c r="G31" i="7"/>
  <c r="M31" i="7"/>
  <c r="G33" i="7"/>
  <c r="M33" i="7"/>
  <c r="G35" i="7"/>
  <c r="M35" i="7"/>
  <c r="M37" i="7"/>
  <c r="M38" i="7"/>
  <c r="H39" i="7"/>
  <c r="M39" i="7"/>
  <c r="F40" i="7"/>
  <c r="M41" i="7"/>
  <c r="M42" i="7"/>
  <c r="M46" i="7"/>
  <c r="G47" i="7"/>
  <c r="M47" i="7" s="1"/>
  <c r="M48" i="7"/>
  <c r="M49" i="7"/>
  <c r="M50" i="7"/>
  <c r="M51" i="7"/>
  <c r="H53" i="7"/>
  <c r="M55" i="7"/>
  <c r="M56" i="7"/>
  <c r="M57" i="7"/>
  <c r="H58" i="7"/>
  <c r="M58" i="7" s="1"/>
  <c r="G59" i="7"/>
  <c r="M59" i="7" s="1"/>
  <c r="G60" i="7"/>
  <c r="M60" i="7" s="1"/>
  <c r="G61" i="7"/>
  <c r="M61" i="7" s="1"/>
  <c r="G63" i="7"/>
  <c r="M63" i="7" s="1"/>
  <c r="G64" i="7"/>
  <c r="M64" i="7" s="1"/>
  <c r="M67" i="7"/>
  <c r="G68" i="7"/>
  <c r="M68" i="7"/>
  <c r="G69" i="7"/>
  <c r="M69" i="7"/>
  <c r="I70" i="7"/>
  <c r="M72" i="7"/>
  <c r="M74" i="7"/>
  <c r="M75" i="7"/>
  <c r="M76" i="7"/>
  <c r="G77" i="7"/>
  <c r="M77" i="7" s="1"/>
  <c r="H77" i="7"/>
  <c r="M78" i="7"/>
  <c r="M79" i="7"/>
  <c r="G80" i="7"/>
  <c r="M80" i="7"/>
  <c r="G81" i="7"/>
  <c r="H81" i="7"/>
  <c r="M82" i="7"/>
  <c r="M84" i="7"/>
  <c r="M85" i="7"/>
  <c r="M86" i="7"/>
  <c r="G87" i="7"/>
  <c r="M87" i="7" s="1"/>
  <c r="G88" i="7"/>
  <c r="I88" i="7"/>
  <c r="I89" i="7"/>
  <c r="M89" i="7"/>
  <c r="M90" i="7"/>
  <c r="M91" i="7"/>
  <c r="M93" i="7"/>
  <c r="M94" i="7"/>
  <c r="G95" i="7"/>
  <c r="M95" i="7"/>
  <c r="G96" i="7"/>
  <c r="H96" i="7"/>
  <c r="J96" i="7"/>
  <c r="M97" i="7"/>
  <c r="M98" i="7"/>
  <c r="M99" i="7"/>
  <c r="M100" i="7"/>
  <c r="M103" i="7"/>
  <c r="M104" i="7"/>
  <c r="M105" i="7"/>
  <c r="M106" i="7"/>
  <c r="I205" i="7"/>
  <c r="I176" i="7"/>
  <c r="I162" i="7"/>
  <c r="M14" i="7" l="1"/>
  <c r="M81" i="7"/>
  <c r="M88" i="7"/>
  <c r="M96" i="7"/>
  <c r="M11" i="7"/>
  <c r="G32" i="7" s="1"/>
  <c r="M44" i="7"/>
  <c r="G71" i="7"/>
  <c r="M71" i="7" s="1"/>
  <c r="G70" i="7"/>
  <c r="M70" i="7" s="1"/>
  <c r="G26" i="7"/>
  <c r="M26" i="7" s="1"/>
  <c r="G53" i="7"/>
  <c r="M24" i="7"/>
  <c r="G34" i="7"/>
  <c r="M34" i="7" s="1"/>
  <c r="M32" i="7"/>
  <c r="K137" i="7"/>
  <c r="N137" i="7" s="1"/>
  <c r="J137" i="7"/>
  <c r="M137" i="7" s="1"/>
  <c r="I137" i="7"/>
  <c r="O137" i="7" l="1"/>
  <c r="P137" i="7" s="1"/>
  <c r="G54" i="7"/>
  <c r="M54" i="7" s="1"/>
  <c r="M53" i="7"/>
  <c r="I171" i="7" l="1"/>
  <c r="G141" i="7"/>
  <c r="G197" i="7"/>
  <c r="I157" i="7"/>
  <c r="I156" i="7"/>
  <c r="F156" i="7"/>
  <c r="I201" i="7"/>
  <c r="I200" i="7"/>
  <c r="I199" i="7"/>
  <c r="I198" i="7"/>
  <c r="F128" i="7"/>
  <c r="F135" i="7" l="1"/>
  <c r="K156" i="7"/>
  <c r="N156" i="7" s="1"/>
  <c r="J156" i="7"/>
  <c r="M156" i="7" s="1"/>
  <c r="O156" i="7" l="1"/>
  <c r="P156" i="7" s="1"/>
  <c r="J128" i="7" l="1"/>
  <c r="K128" i="7"/>
  <c r="N128" i="7" s="1"/>
  <c r="I128" i="7"/>
  <c r="M128" i="7" l="1"/>
  <c r="O128" i="7" s="1"/>
  <c r="P128" i="7" s="1"/>
  <c r="F215" i="7" l="1"/>
  <c r="F177" i="7"/>
  <c r="K172" i="7"/>
  <c r="N172" i="7" s="1"/>
  <c r="J172" i="7"/>
  <c r="M172" i="7" s="1"/>
  <c r="I172" i="7"/>
  <c r="H141" i="7"/>
  <c r="F149" i="7"/>
  <c r="H150" i="7"/>
  <c r="G150" i="7"/>
  <c r="H149" i="7"/>
  <c r="G149" i="7"/>
  <c r="K149" i="7" l="1"/>
  <c r="N149" i="7" s="1"/>
  <c r="F150" i="7"/>
  <c r="K150" i="7" s="1"/>
  <c r="N150" i="7" s="1"/>
  <c r="O172" i="7"/>
  <c r="P172" i="7" s="1"/>
  <c r="I149" i="7"/>
  <c r="I150" i="7"/>
  <c r="J149" i="7"/>
  <c r="M149" i="7" s="1"/>
  <c r="J150" i="7" l="1"/>
  <c r="M150" i="7" s="1"/>
  <c r="O150" i="7" s="1"/>
  <c r="P150" i="7" s="1"/>
  <c r="O149" i="7"/>
  <c r="P149" i="7" s="1"/>
  <c r="I222" i="7"/>
  <c r="F221" i="7"/>
  <c r="I220" i="7"/>
  <c r="F219" i="7"/>
  <c r="F220" i="7"/>
  <c r="K220" i="7" s="1"/>
  <c r="N220" i="7" s="1"/>
  <c r="I219" i="7"/>
  <c r="F222" i="7" l="1"/>
  <c r="K222" i="7" s="1"/>
  <c r="N222" i="7" s="1"/>
  <c r="J220" i="7"/>
  <c r="J222" i="7" l="1"/>
  <c r="M222" i="7" s="1"/>
  <c r="O222" i="7" s="1"/>
  <c r="P222" i="7" s="1"/>
  <c r="M220" i="7"/>
  <c r="O220" i="7" s="1"/>
  <c r="P220" i="7" s="1"/>
  <c r="I221" i="7" l="1"/>
  <c r="K221" i="7"/>
  <c r="N221" i="7" s="1"/>
  <c r="K219" i="7"/>
  <c r="I177" i="7"/>
  <c r="J177" i="7"/>
  <c r="M177" i="7" s="1"/>
  <c r="K186" i="7"/>
  <c r="N186" i="7" s="1"/>
  <c r="J186" i="7"/>
  <c r="M186" i="7" s="1"/>
  <c r="I186" i="7"/>
  <c r="K185" i="7"/>
  <c r="J185" i="7"/>
  <c r="M185" i="7" s="1"/>
  <c r="I185" i="7"/>
  <c r="I184" i="7"/>
  <c r="K223" i="7" l="1"/>
  <c r="N219" i="7"/>
  <c r="N223" i="7" s="1"/>
  <c r="J219" i="7"/>
  <c r="J221" i="7"/>
  <c r="K177" i="7"/>
  <c r="N177" i="7" s="1"/>
  <c r="O177" i="7" s="1"/>
  <c r="P177" i="7" s="1"/>
  <c r="O186" i="7"/>
  <c r="P186" i="7" s="1"/>
  <c r="N185" i="7"/>
  <c r="O185" i="7" s="1"/>
  <c r="P185" i="7" s="1"/>
  <c r="J223" i="7" l="1"/>
  <c r="M221" i="7"/>
  <c r="O221" i="7" s="1"/>
  <c r="P221" i="7" s="1"/>
  <c r="M219" i="7"/>
  <c r="M223" i="7" l="1"/>
  <c r="O219" i="7"/>
  <c r="O223" i="7" s="1"/>
  <c r="P219" i="7" l="1"/>
  <c r="P223" i="7" l="1"/>
  <c r="I183" i="7"/>
  <c r="K169" i="7" l="1"/>
  <c r="J169" i="7"/>
  <c r="I169" i="7"/>
  <c r="M169" i="7" l="1"/>
  <c r="N169" i="7"/>
  <c r="O169" i="7" l="1"/>
  <c r="P169" i="7" s="1"/>
  <c r="F203" i="7"/>
  <c r="F162" i="7"/>
  <c r="F163" i="7" s="1"/>
  <c r="J163" i="7" s="1"/>
  <c r="I164" i="7" l="1"/>
  <c r="I163" i="7"/>
  <c r="F164" i="7"/>
  <c r="J164" i="7" s="1"/>
  <c r="M163" i="7"/>
  <c r="J162" i="7"/>
  <c r="M162" i="7" s="1"/>
  <c r="K164" i="7" l="1"/>
  <c r="N164" i="7" s="1"/>
  <c r="K162" i="7"/>
  <c r="K163" i="7"/>
  <c r="N163" i="7" s="1"/>
  <c r="O163" i="7" s="1"/>
  <c r="P163" i="7" s="1"/>
  <c r="M164" i="7"/>
  <c r="N162" i="7" l="1"/>
  <c r="O164" i="7"/>
  <c r="P164" i="7" s="1"/>
  <c r="O162" i="7" l="1"/>
  <c r="I227" i="7"/>
  <c r="K179" i="7"/>
  <c r="J179" i="7"/>
  <c r="M179" i="7" s="1"/>
  <c r="I179" i="7"/>
  <c r="K178" i="7"/>
  <c r="N178" i="7" s="1"/>
  <c r="J178" i="7"/>
  <c r="I178" i="7"/>
  <c r="K176" i="7"/>
  <c r="J176" i="7"/>
  <c r="J180" i="7" l="1"/>
  <c r="P162" i="7"/>
  <c r="N176" i="7"/>
  <c r="K180" i="7"/>
  <c r="M176" i="7"/>
  <c r="M178" i="7"/>
  <c r="O178" i="7" s="1"/>
  <c r="P178" i="7" s="1"/>
  <c r="N179" i="7"/>
  <c r="O179" i="7" s="1"/>
  <c r="P179" i="7" s="1"/>
  <c r="M180" i="7" l="1"/>
  <c r="O176" i="7"/>
  <c r="F189" i="7"/>
  <c r="K189" i="7" s="1"/>
  <c r="I189" i="7"/>
  <c r="H203" i="7"/>
  <c r="G203" i="7"/>
  <c r="I214" i="7"/>
  <c r="F205" i="7"/>
  <c r="F214" i="7"/>
  <c r="I213" i="7"/>
  <c r="I212" i="7"/>
  <c r="I211" i="7"/>
  <c r="I210" i="7"/>
  <c r="I209" i="7"/>
  <c r="I190" i="7"/>
  <c r="I188" i="7"/>
  <c r="I187" i="7"/>
  <c r="F187" i="7"/>
  <c r="F183" i="7"/>
  <c r="F157" i="7"/>
  <c r="K183" i="7" l="1"/>
  <c r="N183" i="7" s="1"/>
  <c r="J183" i="7"/>
  <c r="J205" i="7"/>
  <c r="K205" i="7"/>
  <c r="N205" i="7" s="1"/>
  <c r="K157" i="7"/>
  <c r="N157" i="7" s="1"/>
  <c r="J157" i="7"/>
  <c r="P176" i="7"/>
  <c r="P180" i="7" s="1"/>
  <c r="O180" i="7"/>
  <c r="K214" i="7"/>
  <c r="N214" i="7" s="1"/>
  <c r="F190" i="7"/>
  <c r="K190" i="7" s="1"/>
  <c r="N190" i="7" s="1"/>
  <c r="J189" i="7"/>
  <c r="M189" i="7" s="1"/>
  <c r="N189" i="7"/>
  <c r="J214" i="7"/>
  <c r="M214" i="7" s="1"/>
  <c r="M205" i="7" l="1"/>
  <c r="O205" i="7" s="1"/>
  <c r="P205" i="7" s="1"/>
  <c r="M183" i="7"/>
  <c r="O183" i="7" s="1"/>
  <c r="P183" i="7" s="1"/>
  <c r="M157" i="7"/>
  <c r="O157" i="7" s="1"/>
  <c r="P157" i="7" s="1"/>
  <c r="O214" i="7"/>
  <c r="P214" i="7" s="1"/>
  <c r="J190" i="7"/>
  <c r="M190" i="7" s="1"/>
  <c r="O190" i="7" s="1"/>
  <c r="P190" i="7" s="1"/>
  <c r="O189" i="7"/>
  <c r="P189" i="7" s="1"/>
  <c r="I168" i="7"/>
  <c r="I170" i="7"/>
  <c r="I161" i="7"/>
  <c r="F140" i="7" l="1"/>
  <c r="F168" i="7"/>
  <c r="F146" i="7" l="1"/>
  <c r="K168" i="7"/>
  <c r="J168" i="7"/>
  <c r="F129" i="7"/>
  <c r="F115" i="7"/>
  <c r="K115" i="7" s="1"/>
  <c r="I116" i="7"/>
  <c r="I115" i="7"/>
  <c r="N168" i="7" l="1"/>
  <c r="M168" i="7"/>
  <c r="J115" i="7"/>
  <c r="O168" i="7" l="1"/>
  <c r="G154" i="7"/>
  <c r="I154" i="7" s="1"/>
  <c r="G130" i="7"/>
  <c r="P168" i="7" l="1"/>
  <c r="N180" i="7"/>
  <c r="I194" i="7"/>
  <c r="I204" i="7"/>
  <c r="I203" i="7"/>
  <c r="I202" i="7"/>
  <c r="I197" i="7"/>
  <c r="I196" i="7"/>
  <c r="I195" i="7"/>
  <c r="I136" i="7"/>
  <c r="F147" i="7" l="1"/>
  <c r="F198" i="7" l="1"/>
  <c r="F123" i="7"/>
  <c r="F121" i="7"/>
  <c r="F118" i="7"/>
  <c r="K198" i="7" l="1"/>
  <c r="N198" i="7" s="1"/>
  <c r="F200" i="7"/>
  <c r="J198" i="7"/>
  <c r="F197" i="7"/>
  <c r="F196" i="7"/>
  <c r="J196" i="7" s="1"/>
  <c r="M198" i="7" l="1"/>
  <c r="O198" i="7" s="1"/>
  <c r="P198" i="7" s="1"/>
  <c r="K200" i="7"/>
  <c r="N200" i="7" s="1"/>
  <c r="J200" i="7"/>
  <c r="F141" i="7"/>
  <c r="K196" i="7"/>
  <c r="M196" i="7"/>
  <c r="K197" i="7"/>
  <c r="N197" i="7" s="1"/>
  <c r="J197" i="7"/>
  <c r="F124" i="7"/>
  <c r="F139" i="7"/>
  <c r="F138" i="7"/>
  <c r="F213" i="7" l="1"/>
  <c r="F212" i="7"/>
  <c r="F161" i="7"/>
  <c r="M200" i="7"/>
  <c r="O200" i="7" s="1"/>
  <c r="P200" i="7" s="1"/>
  <c r="N196" i="7"/>
  <c r="O196" i="7" s="1"/>
  <c r="M197" i="7"/>
  <c r="O197" i="7" s="1"/>
  <c r="P197" i="7" s="1"/>
  <c r="P196" i="7" l="1"/>
  <c r="K212" i="7"/>
  <c r="N212" i="7" s="1"/>
  <c r="J212" i="7"/>
  <c r="K213" i="7"/>
  <c r="N213" i="7" s="1"/>
  <c r="J213" i="7"/>
  <c r="M212" i="7" l="1"/>
  <c r="O212" i="7" s="1"/>
  <c r="P212" i="7" s="1"/>
  <c r="M213" i="7"/>
  <c r="O213" i="7" s="1"/>
  <c r="P213" i="7" s="1"/>
  <c r="J161" i="7"/>
  <c r="J165" i="7" s="1"/>
  <c r="K161" i="7" l="1"/>
  <c r="M161" i="7"/>
  <c r="M165" i="7" s="1"/>
  <c r="N161" i="7" l="1"/>
  <c r="N165" i="7" s="1"/>
  <c r="K165" i="7"/>
  <c r="F148" i="7"/>
  <c r="O161" i="7" l="1"/>
  <c r="P161" i="7" s="1"/>
  <c r="P165" i="7" s="1"/>
  <c r="F211" i="7"/>
  <c r="O165" i="7" l="1"/>
  <c r="J187" i="7"/>
  <c r="F184" i="7"/>
  <c r="F204" i="7"/>
  <c r="I215" i="7"/>
  <c r="M226" i="7"/>
  <c r="I226" i="7"/>
  <c r="I228" i="7"/>
  <c r="F226" i="7"/>
  <c r="F227" i="7" s="1"/>
  <c r="K187" i="7" l="1"/>
  <c r="N187" i="7" s="1"/>
  <c r="K184" i="7"/>
  <c r="J184" i="7"/>
  <c r="K227" i="7"/>
  <c r="N227" i="7" s="1"/>
  <c r="J227" i="7"/>
  <c r="J204" i="7"/>
  <c r="K204" i="7"/>
  <c r="M187" i="7"/>
  <c r="K188" i="7"/>
  <c r="N188" i="7" s="1"/>
  <c r="J188" i="7"/>
  <c r="K211" i="7"/>
  <c r="N211" i="7" s="1"/>
  <c r="J211" i="7"/>
  <c r="K226" i="7"/>
  <c r="N226" i="7" s="1"/>
  <c r="O226" i="7" s="1"/>
  <c r="P226" i="7" s="1"/>
  <c r="J191" i="7" l="1"/>
  <c r="N204" i="7"/>
  <c r="M204" i="7"/>
  <c r="M227" i="7"/>
  <c r="F209" i="7"/>
  <c r="F210" i="7"/>
  <c r="N184" i="7"/>
  <c r="N191" i="7" s="1"/>
  <c r="K191" i="7"/>
  <c r="M184" i="7"/>
  <c r="M211" i="7"/>
  <c r="O211" i="7" s="1"/>
  <c r="P211" i="7" s="1"/>
  <c r="M188" i="7"/>
  <c r="O188" i="7" s="1"/>
  <c r="P188" i="7" s="1"/>
  <c r="O187" i="7"/>
  <c r="I155" i="7"/>
  <c r="I148" i="7"/>
  <c r="I147" i="7"/>
  <c r="I146" i="7"/>
  <c r="I142" i="7"/>
  <c r="I141" i="7"/>
  <c r="I140" i="7"/>
  <c r="I139" i="7"/>
  <c r="I138" i="7"/>
  <c r="I135" i="7"/>
  <c r="I131" i="7"/>
  <c r="I130" i="7"/>
  <c r="I129" i="7"/>
  <c r="K148" i="7"/>
  <c r="N148" i="7" s="1"/>
  <c r="J148" i="7"/>
  <c r="M148" i="7" s="1"/>
  <c r="K147" i="7"/>
  <c r="J147" i="7"/>
  <c r="K146" i="7"/>
  <c r="N146" i="7" s="1"/>
  <c r="J146" i="7"/>
  <c r="K139" i="7"/>
  <c r="N139" i="7" s="1"/>
  <c r="J139" i="7"/>
  <c r="M139" i="7" s="1"/>
  <c r="K124" i="7"/>
  <c r="J124" i="7"/>
  <c r="M124" i="7" s="1"/>
  <c r="K123" i="7"/>
  <c r="N123" i="7" s="1"/>
  <c r="J123" i="7"/>
  <c r="M123" i="7" s="1"/>
  <c r="K122" i="7"/>
  <c r="N122" i="7" s="1"/>
  <c r="J122" i="7"/>
  <c r="M122" i="7" s="1"/>
  <c r="K121" i="7"/>
  <c r="N121" i="7" s="1"/>
  <c r="J121" i="7"/>
  <c r="M121" i="7" s="1"/>
  <c r="K118" i="7"/>
  <c r="N118" i="7" s="1"/>
  <c r="J118" i="7"/>
  <c r="M118" i="7" s="1"/>
  <c r="K140" i="7"/>
  <c r="N140" i="7" s="1"/>
  <c r="F116" i="7"/>
  <c r="J151" i="7" l="1"/>
  <c r="O204" i="7"/>
  <c r="O227" i="7"/>
  <c r="P227" i="7" s="1"/>
  <c r="O184" i="7"/>
  <c r="O191" i="7" s="1"/>
  <c r="M191" i="7"/>
  <c r="M146" i="7"/>
  <c r="O146" i="7" s="1"/>
  <c r="P146" i="7" s="1"/>
  <c r="P187" i="7"/>
  <c r="J209" i="7"/>
  <c r="K209" i="7"/>
  <c r="K116" i="7"/>
  <c r="J116" i="7"/>
  <c r="M147" i="7"/>
  <c r="N147" i="7"/>
  <c r="F117" i="7"/>
  <c r="O148" i="7"/>
  <c r="P148" i="7" s="1"/>
  <c r="K141" i="7"/>
  <c r="N141" i="7" s="1"/>
  <c r="J141" i="7"/>
  <c r="M141" i="7" s="1"/>
  <c r="O122" i="7"/>
  <c r="P122" i="7" s="1"/>
  <c r="O123" i="7"/>
  <c r="P123" i="7" s="1"/>
  <c r="J215" i="7"/>
  <c r="K215" i="7"/>
  <c r="O118" i="7"/>
  <c r="P118" i="7" s="1"/>
  <c r="J138" i="7"/>
  <c r="M138" i="7" s="1"/>
  <c r="K138" i="7"/>
  <c r="N138" i="7" s="1"/>
  <c r="J140" i="7"/>
  <c r="M140" i="7" s="1"/>
  <c r="O140" i="7" s="1"/>
  <c r="P140" i="7" s="1"/>
  <c r="O139" i="7"/>
  <c r="P139" i="7" s="1"/>
  <c r="O121" i="7"/>
  <c r="P121" i="7" s="1"/>
  <c r="N124" i="7"/>
  <c r="O124" i="7" s="1"/>
  <c r="P124" i="7" s="1"/>
  <c r="P204" i="7" l="1"/>
  <c r="N209" i="7"/>
  <c r="P184" i="7"/>
  <c r="P191" i="7" s="1"/>
  <c r="M209" i="7"/>
  <c r="K210" i="7"/>
  <c r="N210" i="7" s="1"/>
  <c r="J210" i="7"/>
  <c r="J216" i="7" s="1"/>
  <c r="N215" i="7"/>
  <c r="M215" i="7"/>
  <c r="J117" i="7"/>
  <c r="M117" i="7" s="1"/>
  <c r="F119" i="7"/>
  <c r="F120" i="7" s="1"/>
  <c r="M116" i="7"/>
  <c r="N116" i="7"/>
  <c r="O147" i="7"/>
  <c r="K117" i="7"/>
  <c r="N117" i="7" s="1"/>
  <c r="O141" i="7"/>
  <c r="P141" i="7" s="1"/>
  <c r="N115" i="7"/>
  <c r="O138" i="7"/>
  <c r="P138" i="7" s="1"/>
  <c r="F171" i="7"/>
  <c r="F170" i="7"/>
  <c r="F199" i="7"/>
  <c r="F130" i="7"/>
  <c r="F201" i="7" l="1"/>
  <c r="K199" i="7"/>
  <c r="N199" i="7" s="1"/>
  <c r="J199" i="7"/>
  <c r="O209" i="7"/>
  <c r="K216" i="7"/>
  <c r="N216" i="7"/>
  <c r="M210" i="7"/>
  <c r="O210" i="7" s="1"/>
  <c r="P210" i="7" s="1"/>
  <c r="K203" i="7"/>
  <c r="K171" i="7"/>
  <c r="N171" i="7" s="1"/>
  <c r="J171" i="7"/>
  <c r="J170" i="7"/>
  <c r="K170" i="7"/>
  <c r="O117" i="7"/>
  <c r="P117" i="7" s="1"/>
  <c r="O215" i="7"/>
  <c r="P215" i="7" s="1"/>
  <c r="O116" i="7"/>
  <c r="P116" i="7" s="1"/>
  <c r="P147" i="7"/>
  <c r="P151" i="7" s="1"/>
  <c r="J119" i="7"/>
  <c r="K119" i="7"/>
  <c r="F202" i="7"/>
  <c r="M115" i="7"/>
  <c r="O115" i="7" s="1"/>
  <c r="P115" i="7" s="1"/>
  <c r="J130" i="7"/>
  <c r="K130" i="7"/>
  <c r="F154" i="7"/>
  <c r="J129" i="7"/>
  <c r="K129" i="7"/>
  <c r="F228" i="7"/>
  <c r="I124" i="7"/>
  <c r="I123" i="7"/>
  <c r="I122" i="7"/>
  <c r="I121" i="7"/>
  <c r="I120" i="7"/>
  <c r="I119" i="7"/>
  <c r="I118" i="7"/>
  <c r="I117" i="7"/>
  <c r="J173" i="7" l="1"/>
  <c r="M199" i="7"/>
  <c r="O199" i="7" s="1"/>
  <c r="P199" i="7" s="1"/>
  <c r="K201" i="7"/>
  <c r="N201" i="7" s="1"/>
  <c r="J201" i="7"/>
  <c r="N129" i="7"/>
  <c r="K173" i="7"/>
  <c r="M216" i="7"/>
  <c r="P209" i="7"/>
  <c r="O216" i="7"/>
  <c r="J203" i="7"/>
  <c r="M203" i="7" s="1"/>
  <c r="M170" i="7"/>
  <c r="N170" i="7"/>
  <c r="N173" i="7" s="1"/>
  <c r="M171" i="7"/>
  <c r="O171" i="7" s="1"/>
  <c r="P171" i="7" s="1"/>
  <c r="N203" i="7"/>
  <c r="N119" i="7"/>
  <c r="K151" i="7"/>
  <c r="N151" i="7"/>
  <c r="N130" i="7"/>
  <c r="F155" i="7"/>
  <c r="K120" i="7"/>
  <c r="N120" i="7" s="1"/>
  <c r="J120" i="7"/>
  <c r="J125" i="7" s="1"/>
  <c r="M119" i="7"/>
  <c r="M130" i="7"/>
  <c r="M129" i="7"/>
  <c r="K228" i="7"/>
  <c r="J228" i="7"/>
  <c r="J229" i="7" s="1"/>
  <c r="N125" i="7" l="1"/>
  <c r="M173" i="7"/>
  <c r="P216" i="7"/>
  <c r="M201" i="7"/>
  <c r="O201" i="7" s="1"/>
  <c r="P201" i="7" s="1"/>
  <c r="O129" i="7"/>
  <c r="M120" i="7"/>
  <c r="M125" i="7" s="1"/>
  <c r="O170" i="7"/>
  <c r="O173" i="7" s="1"/>
  <c r="O203" i="7"/>
  <c r="O119" i="7"/>
  <c r="K125" i="7"/>
  <c r="M151" i="7"/>
  <c r="N228" i="7"/>
  <c r="N229" i="7" s="1"/>
  <c r="K229" i="7"/>
  <c r="J154" i="7"/>
  <c r="K154" i="7"/>
  <c r="O151" i="7"/>
  <c r="O130" i="7"/>
  <c r="P130" i="7" s="1"/>
  <c r="J202" i="7"/>
  <c r="K202" i="7"/>
  <c r="N202" i="7" s="1"/>
  <c r="M228" i="7"/>
  <c r="M229" i="7" s="1"/>
  <c r="F142" i="7" l="1"/>
  <c r="K142" i="7" s="1"/>
  <c r="N142" i="7" s="1"/>
  <c r="P129" i="7"/>
  <c r="O120" i="7"/>
  <c r="P120" i="7" s="1"/>
  <c r="N154" i="7"/>
  <c r="P170" i="7"/>
  <c r="P173" i="7" s="1"/>
  <c r="P203" i="7"/>
  <c r="P119" i="7"/>
  <c r="O228" i="7"/>
  <c r="M154" i="7"/>
  <c r="K155" i="7"/>
  <c r="K158" i="7" s="1"/>
  <c r="J155" i="7"/>
  <c r="J158" i="7" s="1"/>
  <c r="M202" i="7"/>
  <c r="O202" i="7" s="1"/>
  <c r="P202" i="7" s="1"/>
  <c r="J142" i="7" l="1"/>
  <c r="M142" i="7" s="1"/>
  <c r="O142" i="7" s="1"/>
  <c r="P142" i="7" s="1"/>
  <c r="P125" i="7"/>
  <c r="O125" i="7"/>
  <c r="O154" i="7"/>
  <c r="N155" i="7"/>
  <c r="N158" i="7" s="1"/>
  <c r="P228" i="7"/>
  <c r="P229" i="7" s="1"/>
  <c r="O229" i="7"/>
  <c r="M155" i="7"/>
  <c r="M158" i="7" s="1"/>
  <c r="P154" i="7" l="1"/>
  <c r="O155" i="7"/>
  <c r="P155" i="7" s="1"/>
  <c r="P158" i="7" l="1"/>
  <c r="O158" i="7"/>
  <c r="K135" i="7" l="1"/>
  <c r="F195" i="7"/>
  <c r="F136" i="7"/>
  <c r="F131" i="7"/>
  <c r="J135" i="7" l="1"/>
  <c r="K131" i="7"/>
  <c r="K132" i="7" s="1"/>
  <c r="J131" i="7"/>
  <c r="J132" i="7" s="1"/>
  <c r="N135" i="7"/>
  <c r="K136" i="7"/>
  <c r="N136" i="7" s="1"/>
  <c r="J136" i="7"/>
  <c r="J195" i="7"/>
  <c r="K195" i="7"/>
  <c r="N195" i="7" s="1"/>
  <c r="F194" i="7"/>
  <c r="J143" i="7" l="1"/>
  <c r="M135" i="7"/>
  <c r="M136" i="7"/>
  <c r="M131" i="7"/>
  <c r="M132" i="7" s="1"/>
  <c r="N131" i="7"/>
  <c r="N132" i="7" s="1"/>
  <c r="K143" i="7"/>
  <c r="K194" i="7"/>
  <c r="K206" i="7" s="1"/>
  <c r="J194" i="7"/>
  <c r="J206" i="7" s="1"/>
  <c r="M195" i="7"/>
  <c r="O195" i="7" s="1"/>
  <c r="P195" i="7" s="1"/>
  <c r="N143" i="7"/>
  <c r="K232" i="7" l="1"/>
  <c r="O135" i="7"/>
  <c r="M143" i="7"/>
  <c r="J232" i="7"/>
  <c r="N194" i="7"/>
  <c r="P135" i="7"/>
  <c r="M194" i="7"/>
  <c r="M206" i="7" s="1"/>
  <c r="O131" i="7"/>
  <c r="O132" i="7" s="1"/>
  <c r="O136" i="7"/>
  <c r="P136" i="7" s="1"/>
  <c r="N206" i="7" l="1"/>
  <c r="N232" i="7" s="1"/>
  <c r="P143" i="7"/>
  <c r="O194" i="7"/>
  <c r="O206" i="7" s="1"/>
  <c r="M232" i="7"/>
  <c r="P131" i="7"/>
  <c r="O143" i="7"/>
  <c r="P132" i="7" l="1"/>
  <c r="P194" i="7"/>
  <c r="P206" i="7" s="1"/>
  <c r="O232" i="7"/>
  <c r="P235" i="7" s="1"/>
  <c r="P232" i="7" l="1"/>
</calcChain>
</file>

<file path=xl/sharedStrings.xml><?xml version="1.0" encoding="utf-8"?>
<sst xmlns="http://schemas.openxmlformats.org/spreadsheetml/2006/main" count="692" uniqueCount="396">
  <si>
    <t>Sem desoneração</t>
  </si>
  <si>
    <t>Item</t>
  </si>
  <si>
    <t>Código</t>
  </si>
  <si>
    <t>Ref</t>
  </si>
  <si>
    <t>Descrição Atividade</t>
  </si>
  <si>
    <t>Unid</t>
  </si>
  <si>
    <t>Quant.</t>
  </si>
  <si>
    <t>Custo unitário</t>
  </si>
  <si>
    <t xml:space="preserve">Custo total </t>
  </si>
  <si>
    <t>Mat</t>
  </si>
  <si>
    <t>M.O.</t>
  </si>
  <si>
    <t>Total</t>
  </si>
  <si>
    <t>R$</t>
  </si>
  <si>
    <t>BDI</t>
  </si>
  <si>
    <t>Mat + M.O + BDI</t>
  </si>
  <si>
    <t>Material</t>
  </si>
  <si>
    <t>%</t>
  </si>
  <si>
    <t>Mat + M.O.</t>
  </si>
  <si>
    <t>m2</t>
  </si>
  <si>
    <t xml:space="preserve">VALOR TOTAL </t>
  </si>
  <si>
    <t>Mat + M.O. + BDI</t>
  </si>
  <si>
    <t>Área existente:</t>
  </si>
  <si>
    <t>Objeto:  Construção de prédio térreo público</t>
  </si>
  <si>
    <t>Local:  Av. Balbina Ribeiro da Silveira com Rua Carolina Machado da Silveira</t>
  </si>
  <si>
    <t>Municipio:   Icém, SP</t>
  </si>
  <si>
    <t>SERVIÇOS PRELIMINARES</t>
  </si>
  <si>
    <t>02.08.020</t>
  </si>
  <si>
    <t>Placa de identificação para obra</t>
  </si>
  <si>
    <t>07.01.020</t>
  </si>
  <si>
    <t>07.10.020</t>
  </si>
  <si>
    <t>Escavação e carga mecanizada em solo de 1ª categoria, em campo aberto</t>
  </si>
  <si>
    <t>Espalhamento de solo em bota-fora com compactação sem controle</t>
  </si>
  <si>
    <t>02.02.130</t>
  </si>
  <si>
    <t>Locação de container tipo escritório com 1 vaso sanitário, 1 lavatório e 1 ponto para chuveiro - área mínima de 13,80 m²</t>
  </si>
  <si>
    <t>02.10.020</t>
  </si>
  <si>
    <t>Locação de obra de edificação</t>
  </si>
  <si>
    <t>02.03.060</t>
  </si>
  <si>
    <t>Proteção de fachada com tela de nylon</t>
  </si>
  <si>
    <t>m3</t>
  </si>
  <si>
    <t>MOVIMENTAÇÃO DE TERRA</t>
  </si>
  <si>
    <t>Compactação mecânica de solo para execução de radier, piso de concreto ou laje sobre solo, com compactador de solos a percussão. af_09/2021</t>
  </si>
  <si>
    <t>06.02.020</t>
  </si>
  <si>
    <t>Escavação manual em solo de 1ª e 2ª categoria em vala ou cava até 1,5 m</t>
  </si>
  <si>
    <t>FUNDAÇÃO</t>
  </si>
  <si>
    <t>97087</t>
  </si>
  <si>
    <t>11.18.040</t>
  </si>
  <si>
    <t>Lastro de pedra britada</t>
  </si>
  <si>
    <t>10.01.040</t>
  </si>
  <si>
    <t>Armadura em barra de aço CA-50 (A ou B) fyk = 500 MPa</t>
  </si>
  <si>
    <t>10.01.060</t>
  </si>
  <si>
    <t>Armadura em barra de aço CA-60 (A ou B) fyk = 600 MPa</t>
  </si>
  <si>
    <t>14.01.020</t>
  </si>
  <si>
    <t>Alvenaria de embasamento em tijolo maciço comum</t>
  </si>
  <si>
    <t>ESTRUTURA</t>
  </si>
  <si>
    <t>SUPERESTRUTURA</t>
  </si>
  <si>
    <t>09.02.020</t>
  </si>
  <si>
    <t>Forma plana em compensado para estrutura convencional</t>
  </si>
  <si>
    <t>VEDAÇÃO</t>
  </si>
  <si>
    <t>COBERTURA</t>
  </si>
  <si>
    <t>14.20.010</t>
  </si>
  <si>
    <t>Vergas, contravergas e pilaretes de concreto armado</t>
  </si>
  <si>
    <t>FORRO E COBERTURA</t>
  </si>
  <si>
    <t>15.03.131</t>
  </si>
  <si>
    <t>Fornecimento e montagem de estrutura em aço ASTM-A572 Grau 50, sem pintura</t>
  </si>
  <si>
    <t>PINTURA</t>
  </si>
  <si>
    <t xml:space="preserve"> DRENAGEM</t>
  </si>
  <si>
    <t>INSTALAÇÃO ELÉTRICA</t>
  </si>
  <si>
    <t>37.03.210</t>
  </si>
  <si>
    <t>Quadro de distribuição universal de embutir, para disjuntores 24 DIN / 18 Bolt-on - 150 A - sem componentes</t>
  </si>
  <si>
    <t>40.07.010</t>
  </si>
  <si>
    <t>Caixa em PVC de 4´ x 2´</t>
  </si>
  <si>
    <t>PISOS E ACABAMENTOS</t>
  </si>
  <si>
    <t>17.01.020</t>
  </si>
  <si>
    <t>18.06.102</t>
  </si>
  <si>
    <t>Argamassa de regularização e/ou proteção</t>
  </si>
  <si>
    <t>Placa cerâmica esmaltada PEI-5 para área interna, grupo de absorção BIIb, resistência química B, assentado com argamassa colante industrializada</t>
  </si>
  <si>
    <t>Rodapé em placa cerâmica esmaltada PEI-5 para área interna, grupo de absorção BIIb, resistência química B, assentado com argamassa colante industrializada</t>
  </si>
  <si>
    <t>18.06.103</t>
  </si>
  <si>
    <t>88489</t>
  </si>
  <si>
    <t>100719</t>
  </si>
  <si>
    <t>100739</t>
  </si>
  <si>
    <t>102491</t>
  </si>
  <si>
    <t>SERVIÇOS COMPLEMENTARES</t>
  </si>
  <si>
    <t>55.01.020</t>
  </si>
  <si>
    <t>Limpeza final da obra</t>
  </si>
  <si>
    <t xml:space="preserve">Preço Base: </t>
  </si>
  <si>
    <t xml:space="preserve">BDI:  </t>
  </si>
  <si>
    <t>Área a construir:</t>
  </si>
  <si>
    <t>03.02.040</t>
  </si>
  <si>
    <t>Demolição manual de alvenaria de elevação ou elemento vazado, incluindo revestimento</t>
  </si>
  <si>
    <t>05.04.060</t>
  </si>
  <si>
    <t>Transporte manual horizontal e/ou vertical de entulho até o local de despejo - ensacado</t>
  </si>
  <si>
    <t>05.07.050</t>
  </si>
  <si>
    <t>Remoção de entulho de obra com caçamba metálica - material volumoso e misturado por alvenaria, terra, madeira, papel, plástico e metal</t>
  </si>
  <si>
    <t>kg</t>
  </si>
  <si>
    <t>m</t>
  </si>
  <si>
    <t>18.06.400</t>
  </si>
  <si>
    <t>Rejuntamento em placas cerâmicas com cimento branco, juntas acima de 3 até 5 mm</t>
  </si>
  <si>
    <t>33.02.060</t>
  </si>
  <si>
    <t>Massa corrida a base de PVA</t>
  </si>
  <si>
    <t>46.03.050</t>
  </si>
  <si>
    <t>Tubo de PVC rígido PxB com virola e anel de borracha, linha esgoto série reforçada ´R´, DN= 100 mm, inclusive conexões</t>
  </si>
  <si>
    <t>03.01.020</t>
  </si>
  <si>
    <t>Demolição manual de concreto simples</t>
  </si>
  <si>
    <t>03.02.020</t>
  </si>
  <si>
    <t>Demolição manual de alvenaria de fundação/embasamento</t>
  </si>
  <si>
    <t>34.01.020</t>
  </si>
  <si>
    <t>Limpeza e regularização de áreas para ajardinamento (jardins e canteiros)</t>
  </si>
  <si>
    <t>34.02.100</t>
  </si>
  <si>
    <t>Plantio de grama esmeralda em placas (jardins e canteiros)</t>
  </si>
  <si>
    <t>38.13.010</t>
  </si>
  <si>
    <t>Eletroduto corrugado em polietileno de alta densidade, DN= 30 mm, com acessórios</t>
  </si>
  <si>
    <t>u n</t>
  </si>
  <si>
    <t>ESQUADRIAS</t>
  </si>
  <si>
    <t>25.01.070</t>
  </si>
  <si>
    <t>23.13.002</t>
  </si>
  <si>
    <t>Porta lisa de madeira, interna "PIM", para acabamento em pintura, padrão dimensional médio/pesado, com ferragens, completo - 90 x 210 cm</t>
  </si>
  <si>
    <t>23.20.120</t>
  </si>
  <si>
    <t>Guarnição de madeira</t>
  </si>
  <si>
    <t>Obra: Sede dos conselhos (2ª etapa)</t>
  </si>
  <si>
    <t>Piso interno</t>
  </si>
  <si>
    <t>Piso externo</t>
  </si>
  <si>
    <t xml:space="preserve">Piso cimentado </t>
  </si>
  <si>
    <t>Rodapés</t>
  </si>
  <si>
    <t>Soleiras</t>
  </si>
  <si>
    <t>Peitoril esquadrias</t>
  </si>
  <si>
    <t>Forro interno</t>
  </si>
  <si>
    <t>Cobertura</t>
  </si>
  <si>
    <t>Calha cobertura</t>
  </si>
  <si>
    <t>D1</t>
  </si>
  <si>
    <t>D2</t>
  </si>
  <si>
    <t>D3</t>
  </si>
  <si>
    <t>Quant</t>
  </si>
  <si>
    <t>Variavel</t>
  </si>
  <si>
    <t>Pintura interna</t>
  </si>
  <si>
    <t>Pintura externa</t>
  </si>
  <si>
    <t>Pintura piso</t>
  </si>
  <si>
    <t>Dimensão</t>
  </si>
  <si>
    <t>Demolição de alvenaria</t>
  </si>
  <si>
    <t>Demolição de piso</t>
  </si>
  <si>
    <t>Contra vergas</t>
  </si>
  <si>
    <t>Portas internas (madeira)</t>
  </si>
  <si>
    <t>D4</t>
  </si>
  <si>
    <t>Limpeza terreno</t>
  </si>
  <si>
    <t>Aterro Terreno</t>
  </si>
  <si>
    <t>Corte terreno</t>
  </si>
  <si>
    <t>Terreno</t>
  </si>
  <si>
    <t>d1 x d2 + d4</t>
  </si>
  <si>
    <t xml:space="preserve">d1 x d2 </t>
  </si>
  <si>
    <t>d1 x d2 x d3</t>
  </si>
  <si>
    <t>Passeio público</t>
  </si>
  <si>
    <t>d1 + d2</t>
  </si>
  <si>
    <t>(d1 + d2) x ( d4)</t>
  </si>
  <si>
    <t>Compactação terreno</t>
  </si>
  <si>
    <t>d1  +  d3</t>
  </si>
  <si>
    <t>Pintura porta</t>
  </si>
  <si>
    <t>Escavação vigas baldrames</t>
  </si>
  <si>
    <t>(d1+d2) x d3 x d4</t>
  </si>
  <si>
    <t>(d1 + d2) x d4</t>
  </si>
  <si>
    <t>Forma lateral para radier</t>
  </si>
  <si>
    <t>(d1+d2) x d4</t>
  </si>
  <si>
    <t>Concreto</t>
  </si>
  <si>
    <t>Tela soldada no radier</t>
  </si>
  <si>
    <t>CPOS/CDHU Boletim 192</t>
  </si>
  <si>
    <t>un / mês</t>
  </si>
  <si>
    <t>Acabamento chanfro</t>
  </si>
  <si>
    <t>d1  x  d4</t>
  </si>
  <si>
    <t>d1 x d2 x d4</t>
  </si>
  <si>
    <t>Portas internas (vidro)</t>
  </si>
  <si>
    <t>d1 + d2 + d3</t>
  </si>
  <si>
    <t>CA 50 Ø 10mm</t>
  </si>
  <si>
    <t>CA 60 Ø 5mm</t>
  </si>
  <si>
    <t>Vigas &gt;</t>
  </si>
  <si>
    <t>Pilar   &gt;</t>
  </si>
  <si>
    <t>Forma Vigas</t>
  </si>
  <si>
    <t>Forma Pilares</t>
  </si>
  <si>
    <t>Infraestrutura</t>
  </si>
  <si>
    <t>Estrutura</t>
  </si>
  <si>
    <t>Preliminares</t>
  </si>
  <si>
    <t>Estrutura metalica</t>
  </si>
  <si>
    <r>
      <rPr>
        <sz val="14"/>
        <rFont val="Arial"/>
        <family val="2"/>
      </rPr>
      <t>Σ</t>
    </r>
    <r>
      <rPr>
        <sz val="11"/>
        <rFont val="Arial"/>
        <family val="2"/>
      </rPr>
      <t>(d1,...d4)</t>
    </r>
  </si>
  <si>
    <t xml:space="preserve">(d1+d2) </t>
  </si>
  <si>
    <t xml:space="preserve">(d1) </t>
  </si>
  <si>
    <t xml:space="preserve">Σ(d1,d2,d3 )xd4 </t>
  </si>
  <si>
    <t>2 U e 300 x 85 x 25   # 3,35</t>
  </si>
  <si>
    <t>Ue 150x60x20#2,25</t>
  </si>
  <si>
    <t>250x600 #1/4</t>
  </si>
  <si>
    <t>150x200  #3,80mm</t>
  </si>
  <si>
    <t>Peso/kg</t>
  </si>
  <si>
    <t>Compr</t>
  </si>
  <si>
    <t>Larg</t>
  </si>
  <si>
    <t>Demolição de  alvenaria de embasamento</t>
  </si>
  <si>
    <t xml:space="preserve">Construção </t>
  </si>
  <si>
    <t>Proteção de tela de obra</t>
  </si>
  <si>
    <t>Alvenaria de embasamento</t>
  </si>
  <si>
    <t>(d1 x d2 x d3)</t>
  </si>
  <si>
    <t>Lastro de pedra britada (esp 5cm)</t>
  </si>
  <si>
    <t>d1 x d4</t>
  </si>
  <si>
    <t>Vergas (espessura 0,10m)</t>
  </si>
  <si>
    <t>Lastro de brita (5cm)</t>
  </si>
  <si>
    <t xml:space="preserve">(d1 + d2) </t>
  </si>
  <si>
    <t>Regularização do piso (2,5cm)</t>
  </si>
  <si>
    <t>Chapisco interno</t>
  </si>
  <si>
    <t>Chapisco externo</t>
  </si>
  <si>
    <t>Sub-total</t>
  </si>
  <si>
    <t>Alvenaria estrutural de blocos cerâmicos 14X19X39 cm (espessura 14 CM) utilizando palheta e argamassa de assentamento com preparo em betoneira AF_03/2023</t>
  </si>
  <si>
    <t>Pisos</t>
  </si>
  <si>
    <t>Acabamentos</t>
  </si>
  <si>
    <t>Pintura</t>
  </si>
  <si>
    <t>Esquadrias</t>
  </si>
  <si>
    <t>Ruf  (capa) platibanda</t>
  </si>
  <si>
    <t xml:space="preserve">Rufo lateral </t>
  </si>
  <si>
    <t>Rufo platibanda / telha</t>
  </si>
  <si>
    <t>Rufo em chapa de aço galvanizada, numero 24, corte 25cm, incluso transporte vertical. AF_07/2019</t>
  </si>
  <si>
    <t>Calha em chapa de aço galvanizado, numero 24, desenvolvimento 50 cm, incluso transorte vertical</t>
  </si>
  <si>
    <t>d1 x d2 x d3 x d4</t>
  </si>
  <si>
    <t>Lastro de brita</t>
  </si>
  <si>
    <t>Condutor</t>
  </si>
  <si>
    <t>Pintura interna drywall</t>
  </si>
  <si>
    <t>Chapisco aplicado em alvenaria e estruturas de concreto, com colher de pedreiro, argamassa 1:3, preparo manual</t>
  </si>
  <si>
    <t>Massa única para recebimento de pintura, em argamassa traço 1:2:8, preparo mecânico com betoneira, aplicada manualmente em faces internas, esp 20mm, com excecução de taliscas</t>
  </si>
  <si>
    <t>(d1 + d2) x  d3 x d4</t>
  </si>
  <si>
    <t>Caixilho em alumínio de correr com vidro, linha comercial, com grade</t>
  </si>
  <si>
    <t>Esquadrias maxima ar salas</t>
  </si>
  <si>
    <t>Esquadrias correr salas</t>
  </si>
  <si>
    <t>Guarnição para porta</t>
  </si>
  <si>
    <t>(d1 x d2) x 2</t>
  </si>
  <si>
    <t xml:space="preserve">d1 + d2 </t>
  </si>
  <si>
    <t>18.08.062</t>
  </si>
  <si>
    <t xml:space="preserve">Paredes </t>
  </si>
  <si>
    <t>23.13.064</t>
  </si>
  <si>
    <t>Portas internas de correr</t>
  </si>
  <si>
    <t>Porta lisa de madeira, interna, resistente a umidade "PIM RU", para acabamento em pintura, de correr ou deslizante, tipo acessível, padrão dimensional pesado, com sistema deslizante e ferragens, completo - 120 x 210 cm</t>
  </si>
  <si>
    <t>Gradil</t>
  </si>
  <si>
    <t>Porta de gradil</t>
  </si>
  <si>
    <t>(d1 + d2 + d3) x d4</t>
  </si>
  <si>
    <t>22.03.040</t>
  </si>
  <si>
    <t>Forro modular removível em PVC de 618mm x 1243mm</t>
  </si>
  <si>
    <t>32.06.151</t>
  </si>
  <si>
    <t>Lâmina refletiva revestida com dupla face em alumínio, dupla malha de reforço e laminação entre camadas, para isolação térmica</t>
  </si>
  <si>
    <t xml:space="preserve">(d1)+(d3 x d4) </t>
  </si>
  <si>
    <t>Regularização do piso (2cm)</t>
  </si>
  <si>
    <t>(d1 x d4)</t>
  </si>
  <si>
    <t>Concreto espessura 8cm</t>
  </si>
  <si>
    <t>L 1 1/4 #1/8"</t>
  </si>
  <si>
    <t xml:space="preserve">L 1 1/2" #1/8" </t>
  </si>
  <si>
    <t xml:space="preserve">d1 </t>
  </si>
  <si>
    <t xml:space="preserve">d1  </t>
  </si>
  <si>
    <t>46.03.080</t>
  </si>
  <si>
    <t>Tubo de PVC rígido, pontas lisas, soldável, linha esgoto série reforçada ´R´, DN= 40 mm, inclusive conexões</t>
  </si>
  <si>
    <t>1.10</t>
  </si>
  <si>
    <t>CDHU</t>
  </si>
  <si>
    <t>SINAPI</t>
  </si>
  <si>
    <t>4.01</t>
  </si>
  <si>
    <t>3.01</t>
  </si>
  <si>
    <t>3.02</t>
  </si>
  <si>
    <t>3.03</t>
  </si>
  <si>
    <t>3.04</t>
  </si>
  <si>
    <t>3.05</t>
  </si>
  <si>
    <t>3.06</t>
  </si>
  <si>
    <t>3.07</t>
  </si>
  <si>
    <t>2.01</t>
  </si>
  <si>
    <t>2.02</t>
  </si>
  <si>
    <t>2.03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</si>
  <si>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</si>
  <si>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</si>
  <si>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</si>
  <si>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</si>
  <si>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</si>
  <si>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</si>
  <si>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</si>
  <si>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</si>
  <si>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</si>
  <si>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4.02</t>
  </si>
  <si>
    <t>4.03</t>
  </si>
  <si>
    <t>4.04</t>
  </si>
  <si>
    <t>4.05</t>
  </si>
  <si>
    <t>5.01</t>
  </si>
  <si>
    <t>5.02</t>
  </si>
  <si>
    <t>5.03</t>
  </si>
  <si>
    <t>M2</t>
  </si>
  <si>
    <t>6.01</t>
  </si>
  <si>
    <t>6.02</t>
  </si>
  <si>
    <t>6.03</t>
  </si>
  <si>
    <t>6.04</t>
  </si>
  <si>
    <t>28.01.040</t>
  </si>
  <si>
    <t>28.20.770</t>
  </si>
  <si>
    <t>Ferragem com maçaneta tipo alavanca, para porta com 1 folha</t>
  </si>
  <si>
    <t>Trinco para porta em vidro temperado</t>
  </si>
  <si>
    <t>CJ</t>
  </si>
  <si>
    <t>UN</t>
  </si>
  <si>
    <t>Folha de Vidro temperado de 10 mm</t>
  </si>
  <si>
    <t>26.02.060</t>
  </si>
  <si>
    <t>38.21.110</t>
  </si>
  <si>
    <t>Eletrocalha lisa galvanizada a fogo, 50 x 50 mm, com acessórios</t>
  </si>
  <si>
    <t>(d1 +d2) x 2 x d3 + d1 x d2</t>
  </si>
  <si>
    <t>ACESSIBILIDADE</t>
  </si>
  <si>
    <t>24.03.310</t>
  </si>
  <si>
    <t>24.03.320</t>
  </si>
  <si>
    <t>Corrimão tubular em aço galvanizado, diâmetro 1 1/2"</t>
  </si>
  <si>
    <t>Corrimão tubular em aço galvanizado, diâmetro 2"</t>
  </si>
  <si>
    <t>30.04.030</t>
  </si>
  <si>
    <t>Piso em ladrilho hidraulico podotatil várias cores (25x25cm), assentado com argamassa mista</t>
  </si>
  <si>
    <t>30.04.070</t>
  </si>
  <si>
    <t>Rejuntamento de piso em ladrilho hidráulico (25x25cm) com argamassa industrializada para rejunte, juntas de 2 mm</t>
  </si>
  <si>
    <t>Corrimão Ø 2"</t>
  </si>
  <si>
    <t>Corrimão Ø  1 1/2"</t>
  </si>
  <si>
    <t>Piso tátil para escada</t>
  </si>
  <si>
    <t>Piso tátil inicio da rampa</t>
  </si>
  <si>
    <t>Pintura toten</t>
  </si>
  <si>
    <t>Aplicação de fundo selador acrilico em paredes, uma demão . AF_06/2014</t>
  </si>
  <si>
    <t>Aplicação manual de pintura com tinat latex acrilica em paredes, duas demãos.  AF_06/2014</t>
  </si>
  <si>
    <t>Pintura tnta de acabamento (pgimentada), esmalte sintético fosco em madeira, 2 demãos. AF_01/2021</t>
  </si>
  <si>
    <t>Pintura com tinta alquidica de fundo (tipo zarção) pulverizada sobre perfil metálico executado em fábrica (por demão). AF_01/2020_P</t>
  </si>
  <si>
    <t>Pintura com tinta alquidica de acabamento  (esmalte sintetico acetinado) pulverizada sobre perfil metálico, executada em fábrica. AF_01/2020_P</t>
  </si>
  <si>
    <t>Pintura de piso com tinta acrilica, aplicação manual, 2 demãos, inclusive fundo preparador. AF_05/2021</t>
  </si>
  <si>
    <t>Camada separadora para execuçao de radier, piso de concreto ou estrutura sobre solo, em lona plástica. AF_09/2021</t>
  </si>
  <si>
    <t>Concretagem de pilares, fck 25MPa, com uso de bomba, lançamento, adensamento e acabamento</t>
  </si>
  <si>
    <t>Concretagem de vigas e lajes, fck 25 Mpa, para lajes maciças ou nervuradas com uso de bomba - lançamento, adensamento e acabamento. AF_02/20</t>
  </si>
  <si>
    <t>Concretagem de radier, piso de concreto ou laje sobre solo, fck 30 Mpa,  lançamento, adensamento e acabamento</t>
  </si>
  <si>
    <t xml:space="preserve">Armação para execução de radier, piso de concreto ou laje sobre o solo, com uso de tela Q 138 </t>
  </si>
  <si>
    <t>49.03.020</t>
  </si>
  <si>
    <t>Caixa de area em alvenaria, 600 x 600 x 600 mm</t>
  </si>
  <si>
    <r>
      <t>u</t>
    </r>
    <r>
      <rPr>
        <sz val="5"/>
        <rFont val="Arial"/>
        <family val="2"/>
      </rPr>
      <t xml:space="preserve"> </t>
    </r>
    <r>
      <rPr>
        <sz val="11"/>
        <rFont val="Arial"/>
        <family val="2"/>
      </rPr>
      <t>n</t>
    </r>
  </si>
  <si>
    <t>7.01</t>
  </si>
  <si>
    <t>7.02</t>
  </si>
  <si>
    <t>7.03</t>
  </si>
  <si>
    <t>7.04</t>
  </si>
  <si>
    <t>7.05</t>
  </si>
  <si>
    <t>8.01</t>
  </si>
  <si>
    <t>8.02</t>
  </si>
  <si>
    <t>8.03</t>
  </si>
  <si>
    <t>8.04</t>
  </si>
  <si>
    <t>9.01</t>
  </si>
  <si>
    <t>9.02</t>
  </si>
  <si>
    <t>9.03</t>
  </si>
  <si>
    <t>9.04</t>
  </si>
  <si>
    <t>Soleira em granito, largura 15 cm, espessura 2,0cm. AF_09/2020</t>
  </si>
  <si>
    <t>Peitoril linear em granito ou mármore, l=15cm, comprimento até 2,00m, assentado com argamassa 1:6 com aditivo. AF_11/2020</t>
  </si>
  <si>
    <t>Revestimento tipo pedra ferro, para paredes externas, em plaquetas, alinhadas a prumo. AF_06/2014</t>
  </si>
  <si>
    <t>Massa corrida interna</t>
  </si>
  <si>
    <t>SINAPI SP 01/2024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</si>
  <si>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</si>
  <si>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</si>
  <si>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</si>
  <si>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</si>
  <si>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</si>
  <si>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</si>
  <si>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</si>
  <si>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</si>
  <si>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</si>
  <si>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11.01</t>
  </si>
  <si>
    <t>11.02</t>
  </si>
  <si>
    <t>11.03</t>
  </si>
  <si>
    <t>11.04</t>
  </si>
  <si>
    <t>11.05</t>
  </si>
  <si>
    <t>11.06</t>
  </si>
  <si>
    <t>11.07</t>
  </si>
  <si>
    <t>12.01</t>
  </si>
  <si>
    <t>12.02</t>
  </si>
  <si>
    <t>12.03</t>
  </si>
  <si>
    <t>12.04</t>
  </si>
  <si>
    <t>13.01</t>
  </si>
  <si>
    <t>13.02</t>
  </si>
  <si>
    <t>13.03</t>
  </si>
  <si>
    <t xml:space="preserve">Caixa de areia até tubulação do passeio </t>
  </si>
  <si>
    <r>
      <rPr>
        <sz val="14"/>
        <rFont val="Arial"/>
        <family val="2"/>
      </rPr>
      <t>Σ</t>
    </r>
    <r>
      <rPr>
        <sz val="11"/>
        <rFont val="Arial"/>
        <family val="2"/>
      </rPr>
      <t xml:space="preserve">(d1,d2,d3 )xd4 </t>
    </r>
  </si>
  <si>
    <t>P L A N I L H A    O R Ç A M E N T Á R I A    -    S E D E    D O S    C O N S E L H O S  (2ª ETAPA)</t>
  </si>
  <si>
    <t>9.05</t>
  </si>
  <si>
    <t>9.06</t>
  </si>
  <si>
    <t>9.07</t>
  </si>
  <si>
    <t>9.08</t>
  </si>
  <si>
    <t>2.04</t>
  </si>
  <si>
    <t xml:space="preserve">(d1+d2) x d3 </t>
  </si>
  <si>
    <t>18.06.500</t>
  </si>
  <si>
    <t>Rejuntamento de rodapé em placas cerâmicas com cimento branco, altura até 10 cm, juntas acima de 3 até 5 mm</t>
  </si>
  <si>
    <t>(d1 + d2)  x d4</t>
  </si>
  <si>
    <t>Σ(d1,d2,d3,d4) ÷ 5</t>
  </si>
  <si>
    <t>Σ(d1,d3) ÷ 5</t>
  </si>
  <si>
    <t>Escavação radier (corpo principal)</t>
  </si>
  <si>
    <t>Escavação radier (calçamento externo)</t>
  </si>
  <si>
    <t>Divisórias drywall com vãos</t>
  </si>
  <si>
    <t>Divisórias drywall sem vãos</t>
  </si>
  <si>
    <t>Parede com sistema em chapas de gesso para drywall, uso interno, com duas faces simples e estrutura metálica com guia simples, sem vãos.</t>
  </si>
  <si>
    <t>Parede com sistema em chapas de gesso para drywall, uso interno, com duas faces simples e estrutura metálica com guia dupla para paredes, com área liquida maior ou iguala 6m2, com vãos.</t>
  </si>
  <si>
    <t>5.04</t>
  </si>
  <si>
    <t>94213</t>
  </si>
  <si>
    <t>Telhamento com telha de aço / aluminio e-0,5 mm, com até duas águas, incluso içamento</t>
  </si>
  <si>
    <t>Concreto espessura 12,5cm</t>
  </si>
  <si>
    <t>12.01.041</t>
  </si>
  <si>
    <t>Broca em concreto armado diâmetro de 25 cm - completa</t>
  </si>
  <si>
    <t>3.08</t>
  </si>
  <si>
    <t>17.03.020</t>
  </si>
  <si>
    <t>Cimentado desempenado</t>
  </si>
  <si>
    <t>Pedra ferro</t>
  </si>
  <si>
    <t>Data:  Fevereiro 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</si>
</sst>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164" formatCode="&quot;R$&quot;#,##0.00;\-&quot;R$&quot;#,##0.00"/>
    <numFmt numFmtId="165" formatCode="&quot;R$&quot;#,##0"/>
    <numFmt numFmtId="166" formatCode="&quot;R$&quot;#,##0.0"/>
    <numFmt numFmtId="167" formatCode="&quot;R$&quot;#,##0.00"/>
    <numFmt numFmtId="168" formatCode="0.0"/>
    <numFmt numFmtId="169" formatCode="#,##0.00&quot;m²&quot;"/>
    <numFmt numFmtId="170" formatCode="#,##0.000"/>
    <numFmt numFmtId="171" formatCode="#,##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22"/>
      <color theme="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sz val="11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4"/>
      <name val="Arial"/>
      <family val="2"/>
    </font>
    <font>
      <sz val="11"/>
      <color rgb="FF0070C0"/>
      <name val="Arial"/>
      <family val="2"/>
    </font>
    <font>
      <i/>
      <sz val="11"/>
      <color rgb="FF0070C0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DFFDD"/>
        <bgColor indexed="64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rgb="FF000000"/>
      </top>
      <bottom/>
      <diagonal/>
    </border>
    <border>
      <left/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</cellStyleXfs>
  <cellXfs count="349">
    <xf numFmtId="0" fontId="0" fillId="0" borderId="0" xfId="0"/>
    <xf numFmtId="0" fontId="4" fillId="2" borderId="0" xfId="3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 wrapText="1"/>
    </xf>
    <xf numFmtId="0" fontId="10" fillId="2" borderId="0" xfId="3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14" fillId="2" borderId="0" xfId="3" applyFont="1" applyFill="1" applyAlignment="1">
      <alignment horizontal="center" vertical="center" wrapText="1"/>
    </xf>
    <xf numFmtId="0" fontId="14" fillId="2" borderId="0" xfId="3" applyFont="1" applyFill="1" applyAlignment="1">
      <alignment horizontal="center" vertical="center" textRotation="90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0" fontId="12" fillId="2" borderId="0" xfId="3" applyFont="1" applyFill="1" applyAlignment="1">
      <alignment horizontal="center" vertical="center" wrapText="1"/>
    </xf>
    <xf numFmtId="4" fontId="17" fillId="2" borderId="0" xfId="0" applyNumberFormat="1" applyFont="1" applyFill="1" applyAlignment="1">
      <alignment horizontal="right" vertical="center"/>
    </xf>
    <xf numFmtId="0" fontId="11" fillId="2" borderId="16" xfId="0" applyFont="1" applyFill="1" applyBorder="1" applyAlignment="1">
      <alignment horizontal="center" vertical="center"/>
    </xf>
    <xf numFmtId="4" fontId="11" fillId="2" borderId="16" xfId="0" applyNumberFormat="1" applyFont="1" applyFill="1" applyBorder="1" applyAlignment="1">
      <alignment vertical="center" wrapText="1"/>
    </xf>
    <xf numFmtId="4" fontId="11" fillId="2" borderId="16" xfId="1" applyNumberFormat="1" applyFont="1" applyFill="1" applyBorder="1" applyAlignment="1">
      <alignment vertical="center"/>
    </xf>
    <xf numFmtId="9" fontId="11" fillId="2" borderId="16" xfId="2" applyFont="1" applyFill="1" applyBorder="1" applyAlignment="1">
      <alignment vertical="center"/>
    </xf>
    <xf numFmtId="165" fontId="11" fillId="2" borderId="16" xfId="2" applyNumberFormat="1" applyFont="1" applyFill="1" applyBorder="1" applyAlignment="1">
      <alignment vertical="center"/>
    </xf>
    <xf numFmtId="166" fontId="11" fillId="2" borderId="16" xfId="2" applyNumberFormat="1" applyFont="1" applyFill="1" applyBorder="1" applyAlignment="1">
      <alignment vertical="center"/>
    </xf>
    <xf numFmtId="4" fontId="11" fillId="2" borderId="16" xfId="2" applyNumberFormat="1" applyFont="1" applyFill="1" applyBorder="1" applyAlignment="1">
      <alignment vertical="center"/>
    </xf>
    <xf numFmtId="0" fontId="8" fillId="2" borderId="0" xfId="3" applyFont="1" applyFill="1" applyAlignment="1">
      <alignment horizontal="center" vertical="center" wrapText="1"/>
    </xf>
    <xf numFmtId="0" fontId="8" fillId="2" borderId="0" xfId="3" applyFont="1" applyFill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2" borderId="25" xfId="3" applyFont="1" applyFill="1" applyBorder="1" applyAlignment="1">
      <alignment horizontal="center" vertical="center" wrapText="1"/>
    </xf>
    <xf numFmtId="0" fontId="8" fillId="2" borderId="25" xfId="3" applyFont="1" applyFill="1" applyBorder="1" applyAlignment="1">
      <alignment vertical="center" wrapText="1"/>
    </xf>
    <xf numFmtId="4" fontId="8" fillId="2" borderId="25" xfId="3" applyNumberFormat="1" applyFont="1" applyFill="1" applyBorder="1" applyAlignment="1">
      <alignment vertical="center" wrapText="1"/>
    </xf>
    <xf numFmtId="3" fontId="8" fillId="2" borderId="25" xfId="3" applyNumberFormat="1" applyFont="1" applyFill="1" applyBorder="1" applyAlignment="1">
      <alignment horizontal="center" vertical="center" wrapText="1"/>
    </xf>
    <xf numFmtId="0" fontId="8" fillId="2" borderId="25" xfId="4" applyFont="1" applyFill="1" applyBorder="1" applyAlignment="1">
      <alignment horizontal="center" vertical="center"/>
    </xf>
    <xf numFmtId="0" fontId="8" fillId="2" borderId="25" xfId="5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5" fillId="6" borderId="26" xfId="3" applyFont="1" applyFill="1" applyBorder="1" applyAlignment="1">
      <alignment horizontal="center" vertical="center" wrapText="1"/>
    </xf>
    <xf numFmtId="0" fontId="14" fillId="6" borderId="26" xfId="3" applyFont="1" applyFill="1" applyBorder="1" applyAlignment="1">
      <alignment horizontal="right" vertical="center" wrapText="1"/>
    </xf>
    <xf numFmtId="0" fontId="14" fillId="6" borderId="26" xfId="3" applyFont="1" applyFill="1" applyBorder="1" applyAlignment="1">
      <alignment horizontal="left" vertical="center" wrapText="1"/>
    </xf>
    <xf numFmtId="0" fontId="8" fillId="6" borderId="1" xfId="3" applyFont="1" applyFill="1" applyBorder="1" applyAlignment="1">
      <alignment horizontal="right" vertical="center"/>
    </xf>
    <xf numFmtId="169" fontId="8" fillId="6" borderId="1" xfId="3" applyNumberFormat="1" applyFont="1" applyFill="1" applyBorder="1" applyAlignment="1">
      <alignment vertical="center" wrapText="1"/>
    </xf>
    <xf numFmtId="0" fontId="8" fillId="6" borderId="1" xfId="3" applyFont="1" applyFill="1" applyBorder="1" applyAlignment="1">
      <alignment vertical="center" wrapText="1"/>
    </xf>
    <xf numFmtId="0" fontId="8" fillId="6" borderId="1" xfId="3" applyFont="1" applyFill="1" applyBorder="1" applyAlignment="1">
      <alignment vertical="center"/>
    </xf>
    <xf numFmtId="0" fontId="8" fillId="6" borderId="0" xfId="3" applyFont="1" applyFill="1" applyAlignment="1">
      <alignment horizontal="left" vertical="center"/>
    </xf>
    <xf numFmtId="0" fontId="8" fillId="6" borderId="0" xfId="3" applyFont="1" applyFill="1" applyAlignment="1">
      <alignment horizontal="left" vertical="center" wrapText="1"/>
    </xf>
    <xf numFmtId="0" fontId="8" fillId="6" borderId="0" xfId="3" applyFont="1" applyFill="1" applyAlignment="1">
      <alignment horizontal="right" vertical="center"/>
    </xf>
    <xf numFmtId="169" fontId="8" fillId="6" borderId="0" xfId="3" applyNumberFormat="1" applyFont="1" applyFill="1" applyAlignment="1">
      <alignment vertical="center" wrapText="1"/>
    </xf>
    <xf numFmtId="0" fontId="8" fillId="6" borderId="0" xfId="3" applyFont="1" applyFill="1" applyAlignment="1">
      <alignment vertical="center"/>
    </xf>
    <xf numFmtId="0" fontId="8" fillId="6" borderId="0" xfId="3" applyFont="1" applyFill="1" applyAlignment="1">
      <alignment vertical="center" wrapText="1"/>
    </xf>
    <xf numFmtId="0" fontId="8" fillId="6" borderId="2" xfId="3" applyFont="1" applyFill="1" applyBorder="1" applyAlignment="1">
      <alignment vertical="center" wrapText="1"/>
    </xf>
    <xf numFmtId="0" fontId="11" fillId="6" borderId="2" xfId="0" applyFont="1" applyFill="1" applyBorder="1" applyAlignment="1">
      <alignment vertical="center"/>
    </xf>
    <xf numFmtId="0" fontId="8" fillId="6" borderId="2" xfId="3" applyFont="1" applyFill="1" applyBorder="1" applyAlignment="1">
      <alignment horizontal="left" vertical="center" wrapText="1"/>
    </xf>
    <xf numFmtId="0" fontId="14" fillId="6" borderId="26" xfId="3" applyFont="1" applyFill="1" applyBorder="1" applyAlignment="1">
      <alignment vertical="center" wrapText="1"/>
    </xf>
    <xf numFmtId="17" fontId="8" fillId="3" borderId="0" xfId="3" applyNumberFormat="1" applyFont="1" applyFill="1" applyAlignment="1">
      <alignment horizontal="left" vertical="center" wrapText="1"/>
    </xf>
    <xf numFmtId="0" fontId="8" fillId="3" borderId="0" xfId="3" applyFont="1" applyFill="1" applyAlignment="1">
      <alignment vertical="center" wrapText="1"/>
    </xf>
    <xf numFmtId="0" fontId="11" fillId="3" borderId="0" xfId="0" applyFont="1" applyFill="1" applyAlignment="1">
      <alignment vertical="center"/>
    </xf>
    <xf numFmtId="0" fontId="8" fillId="3" borderId="0" xfId="3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4" fontId="11" fillId="3" borderId="0" xfId="0" applyNumberFormat="1" applyFont="1" applyFill="1" applyAlignment="1">
      <alignment vertical="center"/>
    </xf>
    <xf numFmtId="4" fontId="8" fillId="3" borderId="0" xfId="3" applyNumberFormat="1" applyFont="1" applyFill="1" applyAlignment="1">
      <alignment horizontal="right" vertical="center" wrapText="1"/>
    </xf>
    <xf numFmtId="4" fontId="11" fillId="3" borderId="0" xfId="0" applyNumberFormat="1" applyFont="1" applyFill="1" applyAlignment="1">
      <alignment horizontal="right" vertical="center"/>
    </xf>
    <xf numFmtId="4" fontId="11" fillId="3" borderId="0" xfId="0" applyNumberFormat="1" applyFont="1" applyFill="1" applyAlignment="1">
      <alignment horizontal="right" vertical="center" wrapText="1"/>
    </xf>
    <xf numFmtId="0" fontId="11" fillId="3" borderId="0" xfId="0" applyFont="1" applyFill="1" applyAlignment="1">
      <alignment horizontal="right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4" fontId="8" fillId="3" borderId="25" xfId="3" applyNumberFormat="1" applyFont="1" applyFill="1" applyBorder="1" applyAlignment="1">
      <alignment horizontal="right" vertical="center" wrapText="1"/>
    </xf>
    <xf numFmtId="4" fontId="11" fillId="3" borderId="25" xfId="0" applyNumberFormat="1" applyFont="1" applyFill="1" applyBorder="1" applyAlignment="1">
      <alignment vertical="center"/>
    </xf>
    <xf numFmtId="4" fontId="11" fillId="3" borderId="25" xfId="0" applyNumberFormat="1" applyFont="1" applyFill="1" applyBorder="1" applyAlignment="1">
      <alignment horizontal="right" vertical="center"/>
    </xf>
    <xf numFmtId="4" fontId="8" fillId="3" borderId="29" xfId="3" applyNumberFormat="1" applyFont="1" applyFill="1" applyBorder="1" applyAlignment="1">
      <alignment horizontal="right" vertical="center" wrapText="1"/>
    </xf>
    <xf numFmtId="4" fontId="11" fillId="3" borderId="28" xfId="0" applyNumberFormat="1" applyFont="1" applyFill="1" applyBorder="1" applyAlignment="1">
      <alignment horizontal="right" vertical="center" wrapText="1"/>
    </xf>
    <xf numFmtId="0" fontId="11" fillId="3" borderId="31" xfId="0" applyFont="1" applyFill="1" applyBorder="1" applyAlignment="1">
      <alignment horizontal="center" vertical="center" wrapText="1"/>
    </xf>
    <xf numFmtId="4" fontId="11" fillId="3" borderId="29" xfId="0" applyNumberFormat="1" applyFont="1" applyFill="1" applyBorder="1" applyAlignment="1">
      <alignment horizontal="right" vertical="center" wrapText="1"/>
    </xf>
    <xf numFmtId="4" fontId="11" fillId="3" borderId="28" xfId="0" applyNumberFormat="1" applyFont="1" applyFill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vertical="center" wrapText="1"/>
    </xf>
    <xf numFmtId="4" fontId="11" fillId="2" borderId="1" xfId="1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vertical="center"/>
    </xf>
    <xf numFmtId="0" fontId="8" fillId="6" borderId="26" xfId="3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4" fontId="11" fillId="0" borderId="25" xfId="0" applyNumberFormat="1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4" fontId="11" fillId="0" borderId="16" xfId="0" applyNumberFormat="1" applyFont="1" applyBorder="1" applyAlignment="1">
      <alignment vertical="center"/>
    </xf>
    <xf numFmtId="0" fontId="8" fillId="2" borderId="0" xfId="3" applyFont="1" applyFill="1" applyAlignment="1">
      <alignment vertical="center" wrapText="1"/>
    </xf>
    <xf numFmtId="4" fontId="11" fillId="0" borderId="22" xfId="0" applyNumberFormat="1" applyFont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" fontId="11" fillId="2" borderId="0" xfId="0" applyNumberFormat="1" applyFont="1" applyFill="1" applyAlignment="1">
      <alignment vertical="center"/>
    </xf>
    <xf numFmtId="167" fontId="11" fillId="2" borderId="23" xfId="0" applyNumberFormat="1" applyFont="1" applyFill="1" applyBorder="1" applyAlignment="1">
      <alignment vertical="center"/>
    </xf>
    <xf numFmtId="167" fontId="11" fillId="2" borderId="3" xfId="0" applyNumberFormat="1" applyFont="1" applyFill="1" applyBorder="1" applyAlignment="1">
      <alignment vertical="center"/>
    </xf>
    <xf numFmtId="167" fontId="11" fillId="2" borderId="1" xfId="0" applyNumberFormat="1" applyFont="1" applyFill="1" applyBorder="1" applyAlignment="1">
      <alignment vertical="center"/>
    </xf>
    <xf numFmtId="167" fontId="11" fillId="2" borderId="0" xfId="0" applyNumberFormat="1" applyFont="1" applyFill="1" applyAlignment="1">
      <alignment vertical="center"/>
    </xf>
    <xf numFmtId="1" fontId="11" fillId="5" borderId="1" xfId="0" applyNumberFormat="1" applyFont="1" applyFill="1" applyBorder="1" applyAlignment="1">
      <alignment horizontal="center" vertical="center"/>
    </xf>
    <xf numFmtId="44" fontId="11" fillId="5" borderId="2" xfId="1" applyFont="1" applyFill="1" applyBorder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4" fontId="8" fillId="2" borderId="25" xfId="3" applyNumberFormat="1" applyFont="1" applyFill="1" applyBorder="1" applyAlignment="1">
      <alignment horizontal="left" vertical="center" wrapText="1"/>
    </xf>
    <xf numFmtId="17" fontId="8" fillId="3" borderId="25" xfId="3" applyNumberFormat="1" applyFont="1" applyFill="1" applyBorder="1" applyAlignment="1">
      <alignment horizontal="left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vertical="center" wrapText="1"/>
    </xf>
    <xf numFmtId="4" fontId="21" fillId="3" borderId="25" xfId="3" applyNumberFormat="1" applyFont="1" applyFill="1" applyBorder="1" applyAlignment="1">
      <alignment horizontal="right" vertical="center" wrapText="1"/>
    </xf>
    <xf numFmtId="17" fontId="22" fillId="3" borderId="25" xfId="3" applyNumberFormat="1" applyFont="1" applyFill="1" applyBorder="1" applyAlignment="1">
      <alignment horizontal="left" vertical="center" wrapText="1"/>
    </xf>
    <xf numFmtId="4" fontId="22" fillId="3" borderId="25" xfId="3" applyNumberFormat="1" applyFont="1" applyFill="1" applyBorder="1" applyAlignment="1">
      <alignment horizontal="right" vertical="center" wrapText="1"/>
    </xf>
    <xf numFmtId="4" fontId="22" fillId="3" borderId="25" xfId="0" applyNumberFormat="1" applyFont="1" applyFill="1" applyBorder="1" applyAlignment="1">
      <alignment vertical="center"/>
    </xf>
    <xf numFmtId="4" fontId="22" fillId="3" borderId="29" xfId="3" applyNumberFormat="1" applyFont="1" applyFill="1" applyBorder="1" applyAlignment="1">
      <alignment horizontal="right" vertical="center" wrapText="1"/>
    </xf>
    <xf numFmtId="4" fontId="22" fillId="3" borderId="28" xfId="3" applyNumberFormat="1" applyFont="1" applyFill="1" applyBorder="1" applyAlignment="1">
      <alignment horizontal="right" vertical="center" wrapText="1"/>
    </xf>
    <xf numFmtId="4" fontId="22" fillId="3" borderId="28" xfId="3" applyNumberFormat="1" applyFont="1" applyFill="1" applyBorder="1" applyAlignment="1">
      <alignment horizontal="left" vertical="center" wrapText="1"/>
    </xf>
    <xf numFmtId="170" fontId="8" fillId="3" borderId="25" xfId="3" applyNumberFormat="1" applyFont="1" applyFill="1" applyBorder="1" applyAlignment="1">
      <alignment horizontal="right" vertical="center" wrapText="1"/>
    </xf>
    <xf numFmtId="4" fontId="8" fillId="2" borderId="0" xfId="3" applyNumberFormat="1" applyFont="1" applyFill="1" applyAlignment="1">
      <alignment horizontal="left" vertical="center" wrapText="1"/>
    </xf>
    <xf numFmtId="164" fontId="11" fillId="5" borderId="2" xfId="1" applyNumberFormat="1" applyFont="1" applyFill="1" applyBorder="1" applyAlignment="1">
      <alignment vertical="center"/>
    </xf>
    <xf numFmtId="4" fontId="8" fillId="2" borderId="25" xfId="3" applyNumberFormat="1" applyFont="1" applyFill="1" applyBorder="1" applyAlignment="1">
      <alignment horizontal="center" vertical="center" wrapText="1"/>
    </xf>
    <xf numFmtId="4" fontId="8" fillId="2" borderId="0" xfId="3" applyNumberFormat="1" applyFont="1" applyFill="1" applyAlignment="1">
      <alignment horizontal="center" vertical="center" wrapText="1"/>
    </xf>
    <xf numFmtId="4" fontId="11" fillId="2" borderId="0" xfId="0" applyNumberFormat="1" applyFont="1" applyFill="1" applyAlignment="1">
      <alignment horizontal="center" vertical="center" wrapText="1"/>
    </xf>
    <xf numFmtId="4" fontId="8" fillId="0" borderId="25" xfId="0" applyNumberFormat="1" applyFont="1" applyBorder="1" applyAlignment="1">
      <alignment vertical="center" wrapText="1"/>
    </xf>
    <xf numFmtId="0" fontId="8" fillId="6" borderId="26" xfId="3" applyFont="1" applyFill="1" applyBorder="1" applyAlignment="1">
      <alignment horizontal="right" vertical="center" wrapText="1"/>
    </xf>
    <xf numFmtId="0" fontId="12" fillId="2" borderId="34" xfId="3" applyFont="1" applyFill="1" applyBorder="1" applyAlignment="1">
      <alignment horizontal="center" vertical="center" wrapText="1"/>
    </xf>
    <xf numFmtId="0" fontId="12" fillId="2" borderId="34" xfId="3" applyFont="1" applyFill="1" applyBorder="1" applyAlignment="1">
      <alignment horizontal="left" vertical="center" wrapText="1"/>
    </xf>
    <xf numFmtId="4" fontId="12" fillId="2" borderId="34" xfId="3" applyNumberFormat="1" applyFont="1" applyFill="1" applyBorder="1" applyAlignment="1">
      <alignment horizontal="left" vertical="center" wrapText="1"/>
    </xf>
    <xf numFmtId="4" fontId="12" fillId="2" borderId="34" xfId="3" applyNumberFormat="1" applyFont="1" applyFill="1" applyBorder="1" applyAlignment="1">
      <alignment horizontal="right" vertical="center" wrapText="1"/>
    </xf>
    <xf numFmtId="0" fontId="8" fillId="2" borderId="35" xfId="3" applyFont="1" applyFill="1" applyBorder="1" applyAlignment="1">
      <alignment horizontal="center" vertical="center" wrapText="1"/>
    </xf>
    <xf numFmtId="0" fontId="8" fillId="2" borderId="35" xfId="3" applyFont="1" applyFill="1" applyBorder="1" applyAlignment="1">
      <alignment vertical="center" wrapText="1"/>
    </xf>
    <xf numFmtId="4" fontId="8" fillId="2" borderId="35" xfId="3" applyNumberFormat="1" applyFont="1" applyFill="1" applyBorder="1" applyAlignment="1">
      <alignment vertical="center" wrapText="1"/>
    </xf>
    <xf numFmtId="4" fontId="11" fillId="0" borderId="35" xfId="0" applyNumberFormat="1" applyFont="1" applyBorder="1" applyAlignment="1">
      <alignment vertical="center"/>
    </xf>
    <xf numFmtId="4" fontId="8" fillId="2" borderId="35" xfId="3" applyNumberFormat="1" applyFont="1" applyFill="1" applyBorder="1" applyAlignment="1">
      <alignment horizontal="center" vertical="center" wrapText="1"/>
    </xf>
    <xf numFmtId="0" fontId="8" fillId="2" borderId="36" xfId="3" applyFont="1" applyFill="1" applyBorder="1" applyAlignment="1">
      <alignment horizontal="center" vertical="center" wrapText="1"/>
    </xf>
    <xf numFmtId="4" fontId="8" fillId="2" borderId="36" xfId="3" applyNumberFormat="1" applyFont="1" applyFill="1" applyBorder="1" applyAlignment="1">
      <alignment horizontal="left" vertical="center" wrapText="1"/>
    </xf>
    <xf numFmtId="4" fontId="8" fillId="2" borderId="36" xfId="3" applyNumberFormat="1" applyFont="1" applyFill="1" applyBorder="1" applyAlignment="1">
      <alignment horizontal="center" vertical="center" wrapText="1"/>
    </xf>
    <xf numFmtId="0" fontId="8" fillId="6" borderId="37" xfId="3" applyFont="1" applyFill="1" applyBorder="1" applyAlignment="1">
      <alignment horizontal="center" vertical="center" wrapText="1"/>
    </xf>
    <xf numFmtId="0" fontId="8" fillId="2" borderId="36" xfId="3" applyFont="1" applyFill="1" applyBorder="1" applyAlignment="1">
      <alignment vertical="center" wrapText="1"/>
    </xf>
    <xf numFmtId="4" fontId="8" fillId="2" borderId="36" xfId="3" applyNumberFormat="1" applyFont="1" applyFill="1" applyBorder="1" applyAlignment="1">
      <alignment vertical="center" wrapText="1"/>
    </xf>
    <xf numFmtId="4" fontId="11" fillId="0" borderId="36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 wrapText="1"/>
    </xf>
    <xf numFmtId="0" fontId="14" fillId="2" borderId="51" xfId="3" applyFont="1" applyFill="1" applyBorder="1" applyAlignment="1">
      <alignment horizontal="center" vertical="center" wrapText="1"/>
    </xf>
    <xf numFmtId="0" fontId="14" fillId="2" borderId="52" xfId="3" applyFont="1" applyFill="1" applyBorder="1" applyAlignment="1">
      <alignment horizontal="center" vertical="center" wrapText="1"/>
    </xf>
    <xf numFmtId="1" fontId="14" fillId="6" borderId="53" xfId="3" applyNumberFormat="1" applyFont="1" applyFill="1" applyBorder="1" applyAlignment="1">
      <alignment horizontal="center" vertical="center" shrinkToFit="1"/>
    </xf>
    <xf numFmtId="0" fontId="14" fillId="6" borderId="54" xfId="3" applyFont="1" applyFill="1" applyBorder="1" applyAlignment="1">
      <alignment vertical="center" wrapText="1"/>
    </xf>
    <xf numFmtId="4" fontId="8" fillId="2" borderId="56" xfId="3" applyNumberFormat="1" applyFont="1" applyFill="1" applyBorder="1" applyAlignment="1">
      <alignment horizontal="center" vertical="center" wrapText="1"/>
    </xf>
    <xf numFmtId="4" fontId="8" fillId="2" borderId="58" xfId="3" applyNumberFormat="1" applyFont="1" applyFill="1" applyBorder="1" applyAlignment="1">
      <alignment horizontal="center" vertical="center" wrapText="1"/>
    </xf>
    <xf numFmtId="4" fontId="8" fillId="2" borderId="60" xfId="3" applyNumberFormat="1" applyFont="1" applyFill="1" applyBorder="1" applyAlignment="1">
      <alignment horizontal="center" vertical="center" wrapText="1"/>
    </xf>
    <xf numFmtId="0" fontId="12" fillId="2" borderId="61" xfId="3" applyFont="1" applyFill="1" applyBorder="1" applyAlignment="1">
      <alignment horizontal="center" vertical="center" wrapText="1"/>
    </xf>
    <xf numFmtId="4" fontId="12" fillId="2" borderId="62" xfId="3" applyNumberFormat="1" applyFont="1" applyFill="1" applyBorder="1" applyAlignment="1">
      <alignment horizontal="right" vertical="center" wrapText="1"/>
    </xf>
    <xf numFmtId="0" fontId="8" fillId="2" borderId="51" xfId="3" applyFont="1" applyFill="1" applyBorder="1" applyAlignment="1">
      <alignment horizontal="center" vertical="center" wrapText="1"/>
    </xf>
    <xf numFmtId="4" fontId="8" fillId="2" borderId="52" xfId="3" applyNumberFormat="1" applyFont="1" applyFill="1" applyBorder="1" applyAlignment="1">
      <alignment horizontal="center" vertical="center" wrapText="1"/>
    </xf>
    <xf numFmtId="1" fontId="8" fillId="6" borderId="63" xfId="3" applyNumberFormat="1" applyFont="1" applyFill="1" applyBorder="1" applyAlignment="1">
      <alignment horizontal="center" vertical="center" shrinkToFit="1"/>
    </xf>
    <xf numFmtId="0" fontId="8" fillId="6" borderId="64" xfId="3" applyFont="1" applyFill="1" applyBorder="1" applyAlignment="1">
      <alignment horizontal="center" vertical="center" wrapText="1"/>
    </xf>
    <xf numFmtId="0" fontId="8" fillId="6" borderId="64" xfId="3" applyFont="1" applyFill="1" applyBorder="1" applyAlignment="1">
      <alignment vertical="center" wrapText="1"/>
    </xf>
    <xf numFmtId="0" fontId="8" fillId="2" borderId="52" xfId="3" applyFont="1" applyFill="1" applyBorder="1" applyAlignment="1">
      <alignment horizontal="center" vertical="center" wrapText="1"/>
    </xf>
    <xf numFmtId="1" fontId="8" fillId="6" borderId="53" xfId="3" applyNumberFormat="1" applyFont="1" applyFill="1" applyBorder="1" applyAlignment="1">
      <alignment horizontal="center" vertical="center" shrinkToFit="1"/>
    </xf>
    <xf numFmtId="0" fontId="8" fillId="6" borderId="54" xfId="3" applyFont="1" applyFill="1" applyBorder="1" applyAlignment="1">
      <alignment horizontal="center" vertical="center" wrapText="1"/>
    </xf>
    <xf numFmtId="0" fontId="8" fillId="2" borderId="65" xfId="3" applyFont="1" applyFill="1" applyBorder="1" applyAlignment="1">
      <alignment horizontal="center" vertical="center" wrapText="1"/>
    </xf>
    <xf numFmtId="4" fontId="11" fillId="2" borderId="66" xfId="1" applyNumberFormat="1" applyFont="1" applyFill="1" applyBorder="1" applyAlignment="1">
      <alignment vertical="center"/>
    </xf>
    <xf numFmtId="0" fontId="8" fillId="2" borderId="67" xfId="3" applyFont="1" applyFill="1" applyBorder="1" applyAlignment="1">
      <alignment horizontal="center" vertical="center" wrapText="1"/>
    </xf>
    <xf numFmtId="4" fontId="11" fillId="2" borderId="68" xfId="1" applyNumberFormat="1" applyFont="1" applyFill="1" applyBorder="1" applyAlignment="1">
      <alignment vertical="center"/>
    </xf>
    <xf numFmtId="0" fontId="17" fillId="2" borderId="51" xfId="0" applyFont="1" applyFill="1" applyBorder="1" applyAlignment="1">
      <alignment vertical="center" wrapText="1"/>
    </xf>
    <xf numFmtId="167" fontId="11" fillId="2" borderId="68" xfId="0" applyNumberFormat="1" applyFont="1" applyFill="1" applyBorder="1" applyAlignment="1">
      <alignment vertical="center"/>
    </xf>
    <xf numFmtId="164" fontId="11" fillId="5" borderId="69" xfId="1" applyNumberFormat="1" applyFont="1" applyFill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2" fontId="11" fillId="2" borderId="52" xfId="0" applyNumberFormat="1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vertical="center"/>
    </xf>
    <xf numFmtId="2" fontId="11" fillId="2" borderId="71" xfId="0" applyNumberFormat="1" applyFont="1" applyFill="1" applyBorder="1" applyAlignment="1">
      <alignment horizontal="center" vertical="center"/>
    </xf>
    <xf numFmtId="2" fontId="11" fillId="2" borderId="72" xfId="0" applyNumberFormat="1" applyFont="1" applyFill="1" applyBorder="1" applyAlignment="1">
      <alignment horizontal="center" vertical="center"/>
    </xf>
    <xf numFmtId="4" fontId="8" fillId="2" borderId="25" xfId="3" applyNumberFormat="1" applyFont="1" applyFill="1" applyBorder="1" applyAlignment="1">
      <alignment horizontal="right" vertical="center" wrapText="1"/>
    </xf>
    <xf numFmtId="4" fontId="8" fillId="2" borderId="35" xfId="3" applyNumberFormat="1" applyFont="1" applyFill="1" applyBorder="1" applyAlignment="1">
      <alignment horizontal="right" vertical="center" wrapText="1"/>
    </xf>
    <xf numFmtId="0" fontId="12" fillId="2" borderId="32" xfId="3" applyFont="1" applyFill="1" applyBorder="1" applyAlignment="1">
      <alignment horizontal="center" vertical="center" wrapText="1"/>
    </xf>
    <xf numFmtId="0" fontId="12" fillId="2" borderId="32" xfId="3" applyFont="1" applyFill="1" applyBorder="1" applyAlignment="1">
      <alignment horizontal="left" vertical="center" wrapText="1"/>
    </xf>
    <xf numFmtId="4" fontId="12" fillId="2" borderId="32" xfId="3" applyNumberFormat="1" applyFont="1" applyFill="1" applyBorder="1" applyAlignment="1">
      <alignment horizontal="left" vertical="center" wrapText="1"/>
    </xf>
    <xf numFmtId="4" fontId="12" fillId="2" borderId="32" xfId="3" applyNumberFormat="1" applyFont="1" applyFill="1" applyBorder="1" applyAlignment="1">
      <alignment horizontal="right" vertical="center" wrapText="1"/>
    </xf>
    <xf numFmtId="0" fontId="6" fillId="2" borderId="0" xfId="3" applyFont="1" applyFill="1" applyAlignment="1">
      <alignment horizontal="left" vertical="center" wrapText="1"/>
    </xf>
    <xf numFmtId="0" fontId="11" fillId="0" borderId="16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17" fontId="8" fillId="3" borderId="27" xfId="3" applyNumberFormat="1" applyFont="1" applyFill="1" applyBorder="1" applyAlignment="1">
      <alignment horizontal="left" vertical="center" wrapText="1"/>
    </xf>
    <xf numFmtId="4" fontId="8" fillId="3" borderId="27" xfId="3" applyNumberFormat="1" applyFont="1" applyFill="1" applyBorder="1" applyAlignment="1">
      <alignment horizontal="right" vertical="center" wrapText="1"/>
    </xf>
    <xf numFmtId="4" fontId="11" fillId="3" borderId="27" xfId="0" applyNumberFormat="1" applyFont="1" applyFill="1" applyBorder="1" applyAlignment="1">
      <alignment vertical="center"/>
    </xf>
    <xf numFmtId="4" fontId="11" fillId="3" borderId="27" xfId="0" applyNumberFormat="1" applyFont="1" applyFill="1" applyBorder="1" applyAlignment="1">
      <alignment horizontal="right" vertical="center"/>
    </xf>
    <xf numFmtId="4" fontId="11" fillId="3" borderId="30" xfId="0" applyNumberFormat="1" applyFont="1" applyFill="1" applyBorder="1" applyAlignment="1">
      <alignment horizontal="right" vertical="center" wrapText="1"/>
    </xf>
    <xf numFmtId="4" fontId="11" fillId="3" borderId="31" xfId="0" applyNumberFormat="1" applyFont="1" applyFill="1" applyBorder="1" applyAlignment="1">
      <alignment vertical="center" wrapText="1"/>
    </xf>
    <xf numFmtId="17" fontId="8" fillId="3" borderId="11" xfId="3" applyNumberFormat="1" applyFont="1" applyFill="1" applyBorder="1" applyAlignment="1">
      <alignment horizontal="left" vertical="center" wrapText="1"/>
    </xf>
    <xf numFmtId="0" fontId="8" fillId="3" borderId="29" xfId="3" applyFont="1" applyFill="1" applyBorder="1" applyAlignment="1">
      <alignment horizontal="right" vertical="center" wrapText="1"/>
    </xf>
    <xf numFmtId="0" fontId="11" fillId="3" borderId="28" xfId="0" applyFont="1" applyFill="1" applyBorder="1" applyAlignment="1">
      <alignment horizontal="center" vertical="center" wrapText="1"/>
    </xf>
    <xf numFmtId="17" fontId="8" fillId="3" borderId="74" xfId="3" applyNumberFormat="1" applyFont="1" applyFill="1" applyBorder="1" applyAlignment="1">
      <alignment horizontal="left" vertical="center" wrapText="1"/>
    </xf>
    <xf numFmtId="2" fontId="11" fillId="3" borderId="6" xfId="0" applyNumberFormat="1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8" fillId="3" borderId="25" xfId="3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4" fontId="8" fillId="3" borderId="29" xfId="3" applyNumberFormat="1" applyFont="1" applyFill="1" applyBorder="1" applyAlignment="1">
      <alignment horizontal="center" vertical="center" wrapText="1"/>
    </xf>
    <xf numFmtId="4" fontId="8" fillId="3" borderId="28" xfId="3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8" fillId="2" borderId="36" xfId="3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8" fillId="2" borderId="73" xfId="3" applyFont="1" applyFill="1" applyBorder="1" applyAlignment="1">
      <alignment horizontal="center" vertical="center" wrapText="1"/>
    </xf>
    <xf numFmtId="0" fontId="12" fillId="2" borderId="32" xfId="3" applyFont="1" applyFill="1" applyBorder="1" applyAlignment="1">
      <alignment horizontal="left" vertical="center"/>
    </xf>
    <xf numFmtId="0" fontId="23" fillId="2" borderId="35" xfId="3" applyFont="1" applyFill="1" applyBorder="1" applyAlignment="1">
      <alignment horizontal="center" vertical="center" wrapText="1"/>
    </xf>
    <xf numFmtId="0" fontId="23" fillId="2" borderId="25" xfId="3" applyFont="1" applyFill="1" applyBorder="1" applyAlignment="1">
      <alignment horizontal="center" vertical="center" wrapText="1"/>
    </xf>
    <xf numFmtId="0" fontId="24" fillId="2" borderId="25" xfId="3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vertical="center" wrapText="1"/>
    </xf>
    <xf numFmtId="1" fontId="8" fillId="2" borderId="57" xfId="3" applyNumberFormat="1" applyFont="1" applyFill="1" applyBorder="1" applyAlignment="1">
      <alignment horizontal="center" vertical="center" shrinkToFit="1"/>
    </xf>
    <xf numFmtId="49" fontId="18" fillId="0" borderId="25" xfId="0" applyNumberFormat="1" applyFont="1" applyBorder="1" applyAlignment="1">
      <alignment horizontal="center" vertical="center"/>
    </xf>
    <xf numFmtId="0" fontId="23" fillId="2" borderId="36" xfId="3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vertical="center" wrapText="1"/>
    </xf>
    <xf numFmtId="49" fontId="18" fillId="0" borderId="35" xfId="0" applyNumberFormat="1" applyFont="1" applyBorder="1" applyAlignment="1">
      <alignment horizontal="center" vertical="center"/>
    </xf>
    <xf numFmtId="4" fontId="8" fillId="2" borderId="35" xfId="3" applyNumberFormat="1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horizontal="center" vertical="center" wrapText="1"/>
    </xf>
    <xf numFmtId="0" fontId="8" fillId="3" borderId="33" xfId="3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" fontId="15" fillId="6" borderId="63" xfId="3" applyNumberFormat="1" applyFont="1" applyFill="1" applyBorder="1" applyAlignment="1">
      <alignment horizontal="center" vertical="center" shrinkToFit="1"/>
    </xf>
    <xf numFmtId="0" fontId="15" fillId="6" borderId="37" xfId="3" applyFont="1" applyFill="1" applyBorder="1" applyAlignment="1">
      <alignment horizontal="center" vertical="center" wrapText="1"/>
    </xf>
    <xf numFmtId="0" fontId="15" fillId="6" borderId="64" xfId="3" applyFont="1" applyFill="1" applyBorder="1" applyAlignment="1">
      <alignment horizontal="center" vertical="center" wrapText="1"/>
    </xf>
    <xf numFmtId="0" fontId="15" fillId="6" borderId="37" xfId="3" applyFont="1" applyFill="1" applyBorder="1" applyAlignment="1">
      <alignment horizontal="right" vertical="center" wrapText="1"/>
    </xf>
    <xf numFmtId="0" fontId="8" fillId="2" borderId="35" xfId="5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horizontal="center" vertical="center" wrapText="1"/>
    </xf>
    <xf numFmtId="4" fontId="8" fillId="2" borderId="35" xfId="0" applyNumberFormat="1" applyFont="1" applyFill="1" applyBorder="1" applyAlignment="1">
      <alignment vertical="center" wrapText="1"/>
    </xf>
    <xf numFmtId="1" fontId="8" fillId="2" borderId="55" xfId="3" applyNumberFormat="1" applyFont="1" applyFill="1" applyBorder="1" applyAlignment="1">
      <alignment horizontal="center" vertical="center" shrinkToFit="1"/>
    </xf>
    <xf numFmtId="167" fontId="11" fillId="2" borderId="75" xfId="0" applyNumberFormat="1" applyFont="1" applyFill="1" applyBorder="1" applyAlignment="1">
      <alignment vertical="center"/>
    </xf>
    <xf numFmtId="0" fontId="11" fillId="2" borderId="70" xfId="0" applyFont="1" applyFill="1" applyBorder="1" applyAlignment="1">
      <alignment vertical="center"/>
    </xf>
    <xf numFmtId="4" fontId="11" fillId="2" borderId="71" xfId="0" applyNumberFormat="1" applyFont="1" applyFill="1" applyBorder="1" applyAlignment="1">
      <alignment vertical="center" wrapText="1"/>
    </xf>
    <xf numFmtId="0" fontId="11" fillId="2" borderId="71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center" vertical="center"/>
    </xf>
    <xf numFmtId="4" fontId="8" fillId="2" borderId="35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Border="1" applyAlignment="1">
      <alignment vertical="center"/>
    </xf>
    <xf numFmtId="0" fontId="11" fillId="3" borderId="80" xfId="0" applyFont="1" applyFill="1" applyBorder="1" applyAlignment="1">
      <alignment horizontal="left" vertical="center" wrapText="1"/>
    </xf>
    <xf numFmtId="0" fontId="23" fillId="2" borderId="55" xfId="3" applyFont="1" applyFill="1" applyBorder="1" applyAlignment="1">
      <alignment horizontal="center" vertical="center" wrapText="1"/>
    </xf>
    <xf numFmtId="0" fontId="23" fillId="2" borderId="57" xfId="3" applyFont="1" applyFill="1" applyBorder="1" applyAlignment="1">
      <alignment horizontal="center" vertical="center" wrapText="1"/>
    </xf>
    <xf numFmtId="0" fontId="23" fillId="2" borderId="59" xfId="3" applyFont="1" applyFill="1" applyBorder="1" applyAlignment="1">
      <alignment horizontal="center" vertical="center" wrapText="1"/>
    </xf>
    <xf numFmtId="0" fontId="18" fillId="2" borderId="55" xfId="3" applyFont="1" applyFill="1" applyBorder="1" applyAlignment="1">
      <alignment horizontal="center" vertical="center" wrapText="1"/>
    </xf>
    <xf numFmtId="0" fontId="18" fillId="2" borderId="57" xfId="3" applyFont="1" applyFill="1" applyBorder="1" applyAlignment="1">
      <alignment horizontal="center" vertical="center" wrapText="1"/>
    </xf>
    <xf numFmtId="0" fontId="18" fillId="2" borderId="59" xfId="3" applyFont="1" applyFill="1" applyBorder="1" applyAlignment="1">
      <alignment horizontal="center" vertical="center" wrapText="1"/>
    </xf>
    <xf numFmtId="3" fontId="18" fillId="2" borderId="57" xfId="3" applyNumberFormat="1" applyFont="1" applyFill="1" applyBorder="1" applyAlignment="1">
      <alignment horizontal="center" vertical="center" wrapText="1"/>
    </xf>
    <xf numFmtId="168" fontId="18" fillId="2" borderId="55" xfId="3" applyNumberFormat="1" applyFont="1" applyFill="1" applyBorder="1" applyAlignment="1">
      <alignment horizontal="center" vertical="center" shrinkToFit="1"/>
    </xf>
    <xf numFmtId="168" fontId="18" fillId="2" borderId="57" xfId="3" applyNumberFormat="1" applyFont="1" applyFill="1" applyBorder="1" applyAlignment="1">
      <alignment horizontal="center" vertical="center" shrinkToFit="1"/>
    </xf>
    <xf numFmtId="49" fontId="16" fillId="0" borderId="35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18" fillId="2" borderId="36" xfId="3" applyFont="1" applyFill="1" applyBorder="1" applyAlignment="1">
      <alignment horizontal="center" vertical="center" wrapText="1"/>
    </xf>
    <xf numFmtId="0" fontId="6" fillId="2" borderId="51" xfId="3" applyFont="1" applyFill="1" applyBorder="1" applyAlignment="1">
      <alignment horizontal="left" vertical="center"/>
    </xf>
    <xf numFmtId="0" fontId="4" fillId="2" borderId="52" xfId="3" applyFont="1" applyFill="1" applyBorder="1" applyAlignment="1">
      <alignment vertical="center"/>
    </xf>
    <xf numFmtId="1" fontId="5" fillId="2" borderId="67" xfId="0" applyNumberFormat="1" applyFont="1" applyFill="1" applyBorder="1" applyAlignment="1">
      <alignment horizontal="center" vertical="center"/>
    </xf>
    <xf numFmtId="0" fontId="8" fillId="6" borderId="68" xfId="3" applyFont="1" applyFill="1" applyBorder="1" applyAlignment="1">
      <alignment vertical="center" wrapText="1"/>
    </xf>
    <xf numFmtId="1" fontId="5" fillId="2" borderId="51" xfId="0" applyNumberFormat="1" applyFont="1" applyFill="1" applyBorder="1" applyAlignment="1">
      <alignment horizontal="center" vertical="center"/>
    </xf>
    <xf numFmtId="0" fontId="8" fillId="6" borderId="52" xfId="3" applyFont="1" applyFill="1" applyBorder="1" applyAlignment="1">
      <alignment horizontal="left" vertical="center" wrapText="1"/>
    </xf>
    <xf numFmtId="0" fontId="8" fillId="6" borderId="52" xfId="3" applyFont="1" applyFill="1" applyBorder="1" applyAlignment="1">
      <alignment vertical="center" wrapText="1"/>
    </xf>
    <xf numFmtId="1" fontId="5" fillId="2" borderId="84" xfId="0" applyNumberFormat="1" applyFont="1" applyFill="1" applyBorder="1" applyAlignment="1">
      <alignment horizontal="center" vertical="center"/>
    </xf>
    <xf numFmtId="9" fontId="8" fillId="6" borderId="69" xfId="3" applyNumberFormat="1" applyFont="1" applyFill="1" applyBorder="1" applyAlignment="1">
      <alignment horizontal="left" vertical="center" wrapText="1"/>
    </xf>
    <xf numFmtId="1" fontId="5" fillId="3" borderId="67" xfId="0" applyNumberFormat="1" applyFont="1" applyFill="1" applyBorder="1" applyAlignment="1">
      <alignment horizontal="center" vertical="center"/>
    </xf>
    <xf numFmtId="0" fontId="8" fillId="3" borderId="68" xfId="3" applyFont="1" applyFill="1" applyBorder="1" applyAlignment="1">
      <alignment horizontal="left" vertical="center" wrapText="1"/>
    </xf>
    <xf numFmtId="1" fontId="5" fillId="3" borderId="51" xfId="0" applyNumberFormat="1" applyFont="1" applyFill="1" applyBorder="1" applyAlignment="1">
      <alignment horizontal="center" vertical="center"/>
    </xf>
    <xf numFmtId="0" fontId="8" fillId="3" borderId="52" xfId="3" applyFont="1" applyFill="1" applyBorder="1" applyAlignment="1">
      <alignment horizontal="left" vertical="center" wrapText="1"/>
    </xf>
    <xf numFmtId="164" fontId="8" fillId="3" borderId="52" xfId="3" applyNumberFormat="1" applyFont="1" applyFill="1" applyBorder="1" applyAlignment="1">
      <alignment horizontal="left" vertical="center" wrapText="1"/>
    </xf>
    <xf numFmtId="0" fontId="15" fillId="6" borderId="37" xfId="3" applyFont="1" applyFill="1" applyBorder="1" applyAlignment="1">
      <alignment horizontal="left" vertical="center" wrapText="1"/>
    </xf>
    <xf numFmtId="0" fontId="8" fillId="6" borderId="37" xfId="3" applyFont="1" applyFill="1" applyBorder="1" applyAlignment="1">
      <alignment vertical="center" wrapText="1"/>
    </xf>
    <xf numFmtId="0" fontId="8" fillId="6" borderId="37" xfId="3" applyFont="1" applyFill="1" applyBorder="1" applyAlignment="1">
      <alignment horizontal="left" vertical="center" wrapText="1"/>
    </xf>
    <xf numFmtId="0" fontId="8" fillId="6" borderId="37" xfId="3" applyFont="1" applyFill="1" applyBorder="1" applyAlignment="1">
      <alignment horizontal="right" vertical="center" wrapText="1"/>
    </xf>
    <xf numFmtId="0" fontId="8" fillId="6" borderId="26" xfId="3" applyFont="1" applyFill="1" applyBorder="1" applyAlignment="1">
      <alignment horizontal="left" vertical="center" wrapText="1"/>
    </xf>
    <xf numFmtId="0" fontId="12" fillId="2" borderId="51" xfId="3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left" vertical="center" wrapText="1"/>
    </xf>
    <xf numFmtId="4" fontId="12" fillId="2" borderId="0" xfId="3" applyNumberFormat="1" applyFont="1" applyFill="1" applyAlignment="1">
      <alignment horizontal="left" vertical="center" wrapText="1"/>
    </xf>
    <xf numFmtId="4" fontId="12" fillId="2" borderId="0" xfId="3" applyNumberFormat="1" applyFont="1" applyFill="1" applyAlignment="1">
      <alignment horizontal="right" vertical="center" wrapText="1"/>
    </xf>
    <xf numFmtId="4" fontId="12" fillId="2" borderId="52" xfId="3" applyNumberFormat="1" applyFont="1" applyFill="1" applyBorder="1" applyAlignment="1">
      <alignment horizontal="right" vertical="center" wrapText="1"/>
    </xf>
    <xf numFmtId="0" fontId="8" fillId="2" borderId="36" xfId="4" applyFont="1" applyFill="1" applyBorder="1" applyAlignment="1">
      <alignment horizontal="center" vertical="center"/>
    </xf>
    <xf numFmtId="4" fontId="11" fillId="0" borderId="25" xfId="0" applyNumberFormat="1" applyFont="1" applyBorder="1" applyAlignment="1">
      <alignment horizontal="right" vertical="center"/>
    </xf>
    <xf numFmtId="0" fontId="8" fillId="2" borderId="36" xfId="3" applyFont="1" applyFill="1" applyBorder="1" applyAlignment="1">
      <alignment horizontal="left" vertical="center" wrapText="1"/>
    </xf>
    <xf numFmtId="171" fontId="8" fillId="3" borderId="25" xfId="3" applyNumberFormat="1" applyFont="1" applyFill="1" applyBorder="1" applyAlignment="1">
      <alignment horizontal="right" vertical="center" wrapText="1"/>
    </xf>
    <xf numFmtId="4" fontId="8" fillId="0" borderId="36" xfId="0" applyNumberFormat="1" applyFont="1" applyBorder="1" applyAlignment="1">
      <alignment vertical="center"/>
    </xf>
    <xf numFmtId="0" fontId="14" fillId="8" borderId="10" xfId="3" applyFont="1" applyFill="1" applyBorder="1" applyAlignment="1">
      <alignment vertical="center" wrapText="1"/>
    </xf>
    <xf numFmtId="0" fontId="14" fillId="8" borderId="11" xfId="3" applyFont="1" applyFill="1" applyBorder="1" applyAlignment="1">
      <alignment vertical="center" wrapText="1"/>
    </xf>
    <xf numFmtId="0" fontId="14" fillId="8" borderId="12" xfId="3" applyFont="1" applyFill="1" applyBorder="1" applyAlignment="1">
      <alignment vertical="center" wrapText="1"/>
    </xf>
    <xf numFmtId="0" fontId="14" fillId="8" borderId="15" xfId="3" applyFont="1" applyFill="1" applyBorder="1" applyAlignment="1">
      <alignment horizontal="center" vertical="center" wrapText="1"/>
    </xf>
    <xf numFmtId="0" fontId="14" fillId="8" borderId="18" xfId="3" applyFont="1" applyFill="1" applyBorder="1" applyAlignment="1">
      <alignment horizontal="center" vertical="center" wrapText="1"/>
    </xf>
    <xf numFmtId="0" fontId="14" fillId="8" borderId="19" xfId="3" applyFont="1" applyFill="1" applyBorder="1" applyAlignment="1">
      <alignment horizontal="center" vertical="center" wrapText="1"/>
    </xf>
    <xf numFmtId="0" fontId="14" fillId="8" borderId="20" xfId="3" applyFont="1" applyFill="1" applyBorder="1" applyAlignment="1">
      <alignment horizontal="center" vertical="center" wrapText="1"/>
    </xf>
    <xf numFmtId="0" fontId="15" fillId="8" borderId="21" xfId="3" applyFont="1" applyFill="1" applyBorder="1" applyAlignment="1">
      <alignment horizontal="center" vertical="center" wrapText="1"/>
    </xf>
    <xf numFmtId="0" fontId="8" fillId="2" borderId="36" xfId="5" applyFont="1" applyFill="1" applyBorder="1" applyAlignment="1">
      <alignment horizontal="center" vertical="center"/>
    </xf>
    <xf numFmtId="4" fontId="8" fillId="3" borderId="29" xfId="3" applyNumberFormat="1" applyFont="1" applyFill="1" applyBorder="1" applyAlignment="1">
      <alignment horizontal="center" vertical="center" wrapText="1"/>
    </xf>
    <xf numFmtId="4" fontId="8" fillId="3" borderId="28" xfId="3" applyNumberFormat="1" applyFont="1" applyFill="1" applyBorder="1" applyAlignment="1">
      <alignment horizontal="center" vertical="center" wrapText="1"/>
    </xf>
    <xf numFmtId="0" fontId="8" fillId="3" borderId="79" xfId="3" applyFont="1" applyFill="1" applyBorder="1" applyAlignment="1">
      <alignment horizontal="right" vertical="center" wrapText="1"/>
    </xf>
    <xf numFmtId="0" fontId="8" fillId="3" borderId="30" xfId="3" applyFont="1" applyFill="1" applyBorder="1" applyAlignment="1">
      <alignment horizontal="right" vertical="center" wrapText="1"/>
    </xf>
    <xf numFmtId="0" fontId="11" fillId="3" borderId="85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5" fillId="6" borderId="37" xfId="3" applyFont="1" applyFill="1" applyBorder="1" applyAlignment="1">
      <alignment horizontal="left" vertical="center" wrapText="1"/>
    </xf>
    <xf numFmtId="0" fontId="3" fillId="7" borderId="81" xfId="3" applyFont="1" applyFill="1" applyBorder="1" applyAlignment="1">
      <alignment horizontal="center" vertical="center"/>
    </xf>
    <xf numFmtId="0" fontId="3" fillId="7" borderId="82" xfId="3" applyFont="1" applyFill="1" applyBorder="1" applyAlignment="1">
      <alignment horizontal="center" vertical="center"/>
    </xf>
    <xf numFmtId="0" fontId="3" fillId="7" borderId="83" xfId="3" applyFont="1" applyFill="1" applyBorder="1" applyAlignment="1">
      <alignment horizontal="center" vertical="center"/>
    </xf>
    <xf numFmtId="0" fontId="8" fillId="6" borderId="1" xfId="3" applyFont="1" applyFill="1" applyBorder="1" applyAlignment="1">
      <alignment horizontal="left" vertical="center" wrapText="1"/>
    </xf>
    <xf numFmtId="0" fontId="8" fillId="6" borderId="2" xfId="3" applyFont="1" applyFill="1" applyBorder="1" applyAlignment="1">
      <alignment horizontal="left" vertical="center" wrapText="1"/>
    </xf>
    <xf numFmtId="17" fontId="8" fillId="3" borderId="1" xfId="3" applyNumberFormat="1" applyFont="1" applyFill="1" applyBorder="1" applyAlignment="1">
      <alignment horizontal="left" vertical="center" wrapText="1"/>
    </xf>
    <xf numFmtId="0" fontId="8" fillId="3" borderId="86" xfId="3" applyFont="1" applyFill="1" applyBorder="1" applyAlignment="1">
      <alignment horizontal="left" vertical="center" wrapText="1"/>
    </xf>
    <xf numFmtId="0" fontId="11" fillId="3" borderId="79" xfId="0" applyFont="1" applyFill="1" applyBorder="1" applyAlignment="1">
      <alignment horizontal="center" vertical="center" wrapText="1"/>
    </xf>
    <xf numFmtId="0" fontId="11" fillId="3" borderId="8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4" fillId="8" borderId="38" xfId="3" applyFont="1" applyFill="1" applyBorder="1" applyAlignment="1">
      <alignment horizontal="center" vertical="center" textRotation="90" wrapText="1"/>
    </xf>
    <xf numFmtId="0" fontId="14" fillId="8" borderId="47" xfId="3" applyFont="1" applyFill="1" applyBorder="1" applyAlignment="1">
      <alignment horizontal="center" vertical="center" textRotation="90" wrapText="1"/>
    </xf>
    <xf numFmtId="0" fontId="14" fillId="8" borderId="49" xfId="3" applyFont="1" applyFill="1" applyBorder="1" applyAlignment="1">
      <alignment horizontal="center" vertical="center" textRotation="90" wrapText="1"/>
    </xf>
    <xf numFmtId="0" fontId="14" fillId="8" borderId="39" xfId="3" applyFont="1" applyFill="1" applyBorder="1" applyAlignment="1">
      <alignment horizontal="center" vertical="center" wrapText="1"/>
    </xf>
    <xf numFmtId="0" fontId="14" fillId="8" borderId="3" xfId="3" applyFont="1" applyFill="1" applyBorder="1" applyAlignment="1">
      <alignment horizontal="center" vertical="center" wrapText="1"/>
    </xf>
    <xf numFmtId="0" fontId="14" fillId="8" borderId="13" xfId="3" applyFont="1" applyFill="1" applyBorder="1" applyAlignment="1">
      <alignment horizontal="center" vertical="center" wrapText="1"/>
    </xf>
    <xf numFmtId="0" fontId="14" fillId="8" borderId="39" xfId="3" applyFont="1" applyFill="1" applyBorder="1" applyAlignment="1">
      <alignment horizontal="center" vertical="center" textRotation="90" wrapText="1"/>
    </xf>
    <xf numFmtId="0" fontId="14" fillId="8" borderId="3" xfId="3" applyFont="1" applyFill="1" applyBorder="1" applyAlignment="1">
      <alignment horizontal="center" vertical="center" textRotation="90" wrapText="1"/>
    </xf>
    <xf numFmtId="0" fontId="14" fillId="8" borderId="13" xfId="3" applyFont="1" applyFill="1" applyBorder="1" applyAlignment="1">
      <alignment horizontal="center" vertical="center" textRotation="90" wrapText="1"/>
    </xf>
    <xf numFmtId="0" fontId="8" fillId="3" borderId="85" xfId="3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 wrapText="1"/>
    </xf>
    <xf numFmtId="0" fontId="11" fillId="3" borderId="76" xfId="0" applyFont="1" applyFill="1" applyBorder="1" applyAlignment="1">
      <alignment horizontal="center" vertical="center"/>
    </xf>
    <xf numFmtId="0" fontId="11" fillId="3" borderId="77" xfId="0" applyFont="1" applyFill="1" applyBorder="1" applyAlignment="1">
      <alignment horizontal="center" vertical="center"/>
    </xf>
    <xf numFmtId="0" fontId="11" fillId="3" borderId="78" xfId="0" applyFont="1" applyFill="1" applyBorder="1" applyAlignment="1">
      <alignment horizontal="center" vertical="center"/>
    </xf>
    <xf numFmtId="0" fontId="14" fillId="8" borderId="40" xfId="3" applyFont="1" applyFill="1" applyBorder="1" applyAlignment="1">
      <alignment horizontal="center" vertical="center" wrapText="1"/>
    </xf>
    <xf numFmtId="0" fontId="14" fillId="8" borderId="4" xfId="3" applyFont="1" applyFill="1" applyBorder="1" applyAlignment="1">
      <alignment horizontal="center" vertical="center" wrapText="1"/>
    </xf>
    <xf numFmtId="0" fontId="14" fillId="8" borderId="14" xfId="3" applyFont="1" applyFill="1" applyBorder="1" applyAlignment="1">
      <alignment horizontal="center" vertical="center" wrapText="1"/>
    </xf>
    <xf numFmtId="0" fontId="14" fillId="8" borderId="41" xfId="3" applyFont="1" applyFill="1" applyBorder="1" applyAlignment="1">
      <alignment horizontal="center" vertical="center" wrapText="1"/>
    </xf>
    <xf numFmtId="0" fontId="14" fillId="8" borderId="42" xfId="3" applyFont="1" applyFill="1" applyBorder="1" applyAlignment="1">
      <alignment horizontal="center" vertical="center" wrapText="1"/>
    </xf>
    <xf numFmtId="0" fontId="14" fillId="8" borderId="43" xfId="3" applyFont="1" applyFill="1" applyBorder="1" applyAlignment="1">
      <alignment horizontal="center" vertical="center" wrapText="1"/>
    </xf>
    <xf numFmtId="0" fontId="14" fillId="8" borderId="44" xfId="3" applyFont="1" applyFill="1" applyBorder="1" applyAlignment="1">
      <alignment horizontal="center" vertical="center" wrapText="1"/>
    </xf>
    <xf numFmtId="0" fontId="14" fillId="8" borderId="45" xfId="3" applyFont="1" applyFill="1" applyBorder="1" applyAlignment="1">
      <alignment horizontal="center" vertical="center" wrapText="1"/>
    </xf>
    <xf numFmtId="0" fontId="14" fillId="8" borderId="46" xfId="3" applyFont="1" applyFill="1" applyBorder="1" applyAlignment="1">
      <alignment horizontal="center" vertical="center" wrapText="1"/>
    </xf>
    <xf numFmtId="0" fontId="14" fillId="8" borderId="5" xfId="3" applyFont="1" applyFill="1" applyBorder="1" applyAlignment="1">
      <alignment horizontal="center" vertical="center" wrapText="1"/>
    </xf>
    <xf numFmtId="0" fontId="14" fillId="8" borderId="15" xfId="3" applyFont="1" applyFill="1" applyBorder="1" applyAlignment="1">
      <alignment horizontal="center" vertical="center" wrapText="1"/>
    </xf>
    <xf numFmtId="0" fontId="14" fillId="8" borderId="6" xfId="3" applyFont="1" applyFill="1" applyBorder="1" applyAlignment="1">
      <alignment horizontal="center" vertical="center" wrapText="1"/>
    </xf>
    <xf numFmtId="0" fontId="14" fillId="8" borderId="16" xfId="3" applyFont="1" applyFill="1" applyBorder="1" applyAlignment="1">
      <alignment horizontal="center" vertical="center" wrapText="1"/>
    </xf>
    <xf numFmtId="0" fontId="14" fillId="8" borderId="7" xfId="3" applyFont="1" applyFill="1" applyBorder="1" applyAlignment="1">
      <alignment horizontal="center" vertical="center" wrapText="1"/>
    </xf>
    <xf numFmtId="0" fontId="14" fillId="8" borderId="17" xfId="3" applyFont="1" applyFill="1" applyBorder="1" applyAlignment="1">
      <alignment horizontal="center" vertical="center" wrapText="1"/>
    </xf>
    <xf numFmtId="0" fontId="14" fillId="8" borderId="8" xfId="3" applyFont="1" applyFill="1" applyBorder="1" applyAlignment="1">
      <alignment horizontal="center" vertical="center" wrapText="1"/>
    </xf>
    <xf numFmtId="0" fontId="14" fillId="8" borderId="9" xfId="3" applyFont="1" applyFill="1" applyBorder="1" applyAlignment="1">
      <alignment horizontal="center" vertical="center" wrapText="1"/>
    </xf>
    <xf numFmtId="0" fontId="14" fillId="8" borderId="48" xfId="3" applyFont="1" applyFill="1" applyBorder="1" applyAlignment="1">
      <alignment horizontal="center" vertical="center" wrapText="1"/>
    </xf>
    <xf numFmtId="0" fontId="14" fillId="8" borderId="50" xfId="3" applyFont="1" applyFill="1" applyBorder="1" applyAlignment="1">
      <alignment horizontal="center" vertical="center" wrapText="1"/>
    </xf>
    <xf numFmtId="0" fontId="8" fillId="6" borderId="37" xfId="3" applyFont="1" applyFill="1" applyBorder="1" applyAlignment="1">
      <alignment horizontal="right" vertical="center" wrapText="1"/>
    </xf>
    <xf numFmtId="0" fontId="14" fillId="6" borderId="26" xfId="3" applyFont="1" applyFill="1" applyBorder="1" applyAlignment="1">
      <alignment horizontal="left" vertical="center" wrapText="1"/>
    </xf>
    <xf numFmtId="1" fontId="11" fillId="5" borderId="1" xfId="0" applyNumberFormat="1" applyFont="1" applyFill="1" applyBorder="1" applyAlignment="1">
      <alignment horizontal="right" vertical="center"/>
    </xf>
    <xf numFmtId="1" fontId="11" fillId="5" borderId="68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Alignment="1">
      <alignment horizontal="right" vertical="center"/>
    </xf>
    <xf numFmtId="0" fontId="15" fillId="6" borderId="26" xfId="3" applyFont="1" applyFill="1" applyBorder="1" applyAlignment="1">
      <alignment horizontal="left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4" fillId="6" borderId="26" xfId="3" applyFont="1" applyFill="1" applyBorder="1" applyAlignment="1">
      <alignment horizontal="right" vertical="center" wrapText="1"/>
    </xf>
    <xf numFmtId="0" fontId="15" fillId="6" borderId="37" xfId="3" applyFont="1" applyFill="1" applyBorder="1" applyAlignment="1">
      <alignment vertical="center" wrapText="1"/>
    </xf>
  </cellXfs>
  <cellStyles count="6">
    <cellStyle name="Moeda" xfId="1" builtinId="4"/>
    <cellStyle name="Normal" xfId="0" builtinId="0"/>
    <cellStyle name="Normal 182" xfId="3" xr:uid="{00000000-0005-0000-0000-000002000000}"/>
    <cellStyle name="Normal 2 2 2" xfId="5" xr:uid="{00000000-0005-0000-0000-000003000000}"/>
    <cellStyle name="Normal 73" xfId="4" xr:uid="{00000000-0005-0000-0000-000004000000}"/>
    <cellStyle name="Porcentagem" xfId="2" builtinId="5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DFFDD"/>
      <color rgb="FFEDF9F8"/>
      <color rgb="FFE9FD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107675</xdr:colOff>
      <xdr:row>2</xdr:row>
      <xdr:rowOff>90413</xdr:rowOff>
    </xdr:from>
    <xdr:to>
      <xdr:col>1</xdr:col>
      <xdr:colOff>669815</xdr:colOff>
      <xdr:row>6</xdr:row>
      <xdr:rowOff>140805</xdr:rowOff>
    </xdr:to>
    <xdr:pic>
      <xdr:nvPicPr>
        <xdr:cNvPr id="2" name="Imagem 53" descr="Logo_Prefeitura_Brasa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5" y="490463"/>
          <a:ext cx="914565" cy="888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38"/>
  <sheetViews>
    <sheetView tabSelected="1" topLeftCell="C64" zoomScale="85" zoomScaleNormal="85" workbookViewId="0">
      <selection activeCell="Y104" sqref="Y104"/>
    </sheetView>
  </sheetViews>
  <sheetFormatPr defaultRowHeight="15.75" x14ac:dyDescent="0.25"/>
  <cols>
    <col min="1" max="1" width="5.28515625" style="16" customWidth="1"/>
    <col min="2" max="2" width="11.28515625" style="12" customWidth="1"/>
    <col min="3" max="3" width="7" style="12" customWidth="1"/>
    <col min="4" max="4" width="50.140625" style="13" customWidth="1"/>
    <col min="5" max="5" width="8.85546875" style="12" customWidth="1"/>
    <col min="6" max="6" width="10.85546875" style="12" bestFit="1" customWidth="1"/>
    <col min="7" max="7" width="10" style="12" bestFit="1" customWidth="1"/>
    <col min="8" max="8" width="8.7109375" style="12" bestFit="1" customWidth="1"/>
    <col min="9" max="9" width="9.42578125" style="2" bestFit="1" customWidth="1"/>
    <col min="10" max="10" width="14.42578125" style="15" customWidth="1"/>
    <col min="11" max="11" width="14" style="15" bestFit="1" customWidth="1"/>
    <col min="12" max="12" width="8.28515625" style="15" hidden="1" customWidth="1"/>
    <col min="13" max="13" width="13.140625" style="15" bestFit="1" customWidth="1"/>
    <col min="14" max="14" width="11.85546875" style="15" bestFit="1" customWidth="1"/>
    <col min="15" max="15" width="16" style="15" bestFit="1" customWidth="1"/>
    <col min="16" max="16" width="16" style="15" customWidth="1"/>
    <col min="17" max="17" width="1.140625" style="2" customWidth="1"/>
    <col min="18" max="18" width="11.7109375" style="2" hidden="1" customWidth="1"/>
    <col min="19" max="19" width="10.5703125" style="2" hidden="1" customWidth="1"/>
    <col min="20" max="23" width="0" style="2" hidden="1" customWidth="1"/>
    <col min="24" max="16384" width="9.140625" style="2"/>
  </cols>
  <sheetData>
    <row r="1" spans="1:19" ht="27" customHeight="1" thickTop="1" thickBot="1" x14ac:dyDescent="0.3">
      <c r="A1" s="295" t="s">
        <v>367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  <c r="Q1" s="1"/>
    </row>
    <row r="2" spans="1:19" ht="5.0999999999999996" customHeight="1" thickBot="1" x14ac:dyDescent="0.3">
      <c r="A2" s="250"/>
      <c r="B2" s="3"/>
      <c r="C2" s="3"/>
      <c r="D2" s="171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251"/>
      <c r="Q2" s="1"/>
    </row>
    <row r="3" spans="1:19" ht="17.100000000000001" customHeight="1" x14ac:dyDescent="0.25">
      <c r="A3" s="252"/>
      <c r="B3" s="209"/>
      <c r="C3" s="298" t="s">
        <v>119</v>
      </c>
      <c r="D3" s="298"/>
      <c r="E3" s="298"/>
      <c r="F3" s="298"/>
      <c r="G3" s="298"/>
      <c r="H3" s="298"/>
      <c r="I3" s="39"/>
      <c r="J3" s="39" t="s">
        <v>21</v>
      </c>
      <c r="K3" s="40">
        <v>61.03</v>
      </c>
      <c r="L3" s="41"/>
      <c r="M3" s="41"/>
      <c r="N3" s="42"/>
      <c r="O3" s="42" t="s">
        <v>85</v>
      </c>
      <c r="P3" s="253"/>
      <c r="Q3" s="5"/>
    </row>
    <row r="4" spans="1:19" ht="17.100000000000001" customHeight="1" x14ac:dyDescent="0.25">
      <c r="A4" s="254"/>
      <c r="B4" s="26"/>
      <c r="C4" s="43" t="s">
        <v>22</v>
      </c>
      <c r="D4" s="44"/>
      <c r="E4" s="44"/>
      <c r="F4" s="44"/>
      <c r="G4" s="44"/>
      <c r="H4" s="44"/>
      <c r="I4" s="45"/>
      <c r="J4" s="45" t="s">
        <v>87</v>
      </c>
      <c r="K4" s="46">
        <v>71.13</v>
      </c>
      <c r="L4" s="44"/>
      <c r="M4" s="44"/>
      <c r="N4" s="47"/>
      <c r="O4" s="47" t="s">
        <v>163</v>
      </c>
      <c r="P4" s="255"/>
      <c r="Q4" s="5"/>
    </row>
    <row r="5" spans="1:19" ht="17.100000000000001" customHeight="1" x14ac:dyDescent="0.25">
      <c r="A5" s="254"/>
      <c r="B5" s="26"/>
      <c r="C5" s="43" t="s">
        <v>23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8"/>
      <c r="O5" s="47" t="s">
        <v>341</v>
      </c>
      <c r="P5" s="256"/>
      <c r="Q5" s="5"/>
    </row>
    <row r="6" spans="1:19" ht="17.100000000000001" customHeight="1" x14ac:dyDescent="0.25">
      <c r="A6" s="254"/>
      <c r="B6" s="26"/>
      <c r="C6" s="43" t="s">
        <v>24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8"/>
      <c r="O6" s="47" t="s">
        <v>0</v>
      </c>
      <c r="P6" s="256"/>
      <c r="Q6" s="5"/>
    </row>
    <row r="7" spans="1:19" ht="15.75" customHeight="1" thickBot="1" x14ac:dyDescent="0.3">
      <c r="A7" s="257"/>
      <c r="B7" s="210"/>
      <c r="C7" s="299" t="s">
        <v>395</v>
      </c>
      <c r="D7" s="299"/>
      <c r="E7" s="49"/>
      <c r="F7" s="49"/>
      <c r="G7" s="50"/>
      <c r="H7" s="50"/>
      <c r="I7" s="299"/>
      <c r="J7" s="299"/>
      <c r="K7" s="299"/>
      <c r="L7" s="51"/>
      <c r="M7" s="51"/>
      <c r="N7" s="51"/>
      <c r="O7" s="51" t="s">
        <v>86</v>
      </c>
      <c r="P7" s="258">
        <v>0.2</v>
      </c>
      <c r="Q7" s="6"/>
      <c r="R7" s="6"/>
      <c r="S7" s="6"/>
    </row>
    <row r="8" spans="1:19" ht="16.5" customHeight="1" x14ac:dyDescent="0.25">
      <c r="A8" s="259"/>
      <c r="B8" s="211"/>
      <c r="C8" s="300"/>
      <c r="D8" s="300"/>
      <c r="E8" s="54"/>
      <c r="F8" s="54"/>
      <c r="G8" s="55"/>
      <c r="H8" s="55"/>
      <c r="I8" s="301"/>
      <c r="J8" s="301"/>
      <c r="K8" s="301"/>
      <c r="L8" s="57"/>
      <c r="M8" s="57"/>
      <c r="N8" s="57"/>
      <c r="O8" s="195"/>
      <c r="P8" s="260"/>
      <c r="Q8" s="6"/>
      <c r="R8" s="6"/>
      <c r="S8" s="6"/>
    </row>
    <row r="9" spans="1:19" ht="18.75" x14ac:dyDescent="0.25">
      <c r="A9" s="261"/>
      <c r="B9" s="212"/>
      <c r="C9" s="53"/>
      <c r="D9" s="53"/>
      <c r="E9" s="315" t="s">
        <v>132</v>
      </c>
      <c r="F9" s="292" t="s">
        <v>5</v>
      </c>
      <c r="G9" s="317" t="s">
        <v>137</v>
      </c>
      <c r="H9" s="318"/>
      <c r="I9" s="318"/>
      <c r="J9" s="319"/>
      <c r="K9" s="290" t="s">
        <v>133</v>
      </c>
      <c r="L9" s="237"/>
      <c r="M9" s="302" t="s">
        <v>11</v>
      </c>
      <c r="N9" s="303"/>
      <c r="O9" s="57"/>
      <c r="P9" s="262"/>
      <c r="Q9" s="6"/>
      <c r="R9" s="6"/>
      <c r="S9" s="6"/>
    </row>
    <row r="10" spans="1:19" ht="18.75" x14ac:dyDescent="0.25">
      <c r="A10" s="261"/>
      <c r="B10" s="212"/>
      <c r="C10" s="53"/>
      <c r="D10" s="53"/>
      <c r="E10" s="316"/>
      <c r="F10" s="293"/>
      <c r="G10" s="189" t="s">
        <v>129</v>
      </c>
      <c r="H10" s="190" t="s">
        <v>130</v>
      </c>
      <c r="I10" s="190" t="s">
        <v>131</v>
      </c>
      <c r="J10" s="190" t="s">
        <v>142</v>
      </c>
      <c r="K10" s="291"/>
      <c r="L10" s="70"/>
      <c r="M10" s="304"/>
      <c r="N10" s="305"/>
      <c r="O10" s="57"/>
      <c r="P10" s="262"/>
      <c r="Q10" s="6"/>
      <c r="R10" s="6"/>
      <c r="S10" s="6"/>
    </row>
    <row r="11" spans="1:19" ht="25.5" customHeight="1" x14ac:dyDescent="0.25">
      <c r="A11" s="261"/>
      <c r="B11" s="63"/>
      <c r="C11" s="181"/>
      <c r="D11" s="100" t="s">
        <v>192</v>
      </c>
      <c r="E11" s="63"/>
      <c r="F11" s="64"/>
      <c r="G11" s="63">
        <f>K4</f>
        <v>71.13</v>
      </c>
      <c r="H11" s="185">
        <v>0</v>
      </c>
      <c r="I11" s="64"/>
      <c r="J11" s="64"/>
      <c r="K11" s="182" t="s">
        <v>151</v>
      </c>
      <c r="L11" s="183"/>
      <c r="M11" s="101">
        <f>G11+H11</f>
        <v>71.13</v>
      </c>
      <c r="N11" s="183"/>
      <c r="O11" s="57"/>
      <c r="P11" s="262"/>
      <c r="Q11" s="6"/>
      <c r="R11" s="6"/>
      <c r="S11" s="6"/>
    </row>
    <row r="12" spans="1:19" ht="25.5" customHeight="1" x14ac:dyDescent="0.25">
      <c r="A12" s="261"/>
      <c r="B12" s="213"/>
      <c r="C12" s="53"/>
      <c r="D12" s="100" t="s">
        <v>143</v>
      </c>
      <c r="E12" s="65"/>
      <c r="F12" s="65"/>
      <c r="G12" s="66">
        <v>8.1</v>
      </c>
      <c r="H12" s="67">
        <v>10</v>
      </c>
      <c r="I12" s="65"/>
      <c r="J12" s="65">
        <v>37.36</v>
      </c>
      <c r="K12" s="288" t="s">
        <v>147</v>
      </c>
      <c r="L12" s="289"/>
      <c r="M12" s="71">
        <f>(G12*H12)+J12</f>
        <v>118.36</v>
      </c>
      <c r="N12" s="72" t="s">
        <v>18</v>
      </c>
      <c r="O12" s="57"/>
      <c r="P12" s="262"/>
      <c r="Q12" s="6"/>
      <c r="R12" s="6"/>
      <c r="S12" s="6"/>
    </row>
    <row r="13" spans="1:19" ht="25.5" customHeight="1" x14ac:dyDescent="0.25">
      <c r="A13" s="261"/>
      <c r="B13" s="213" t="s">
        <v>146</v>
      </c>
      <c r="C13" s="53"/>
      <c r="D13" s="100" t="s">
        <v>145</v>
      </c>
      <c r="E13" s="189"/>
      <c r="F13" s="189"/>
      <c r="G13" s="66">
        <v>8.1</v>
      </c>
      <c r="H13" s="65"/>
      <c r="I13" s="65"/>
      <c r="J13" s="65">
        <v>0.1</v>
      </c>
      <c r="K13" s="68" t="s">
        <v>158</v>
      </c>
      <c r="L13" s="69"/>
      <c r="M13" s="71">
        <f>(G13+H13)*J13</f>
        <v>0.81</v>
      </c>
      <c r="N13" s="72" t="s">
        <v>38</v>
      </c>
      <c r="O13" s="57"/>
      <c r="P13" s="262"/>
      <c r="Q13" s="6"/>
      <c r="R13" s="6"/>
      <c r="S13" s="6"/>
    </row>
    <row r="14" spans="1:19" ht="25.5" customHeight="1" x14ac:dyDescent="0.25">
      <c r="A14" s="261"/>
      <c r="B14" s="213"/>
      <c r="C14" s="53"/>
      <c r="D14" s="100" t="s">
        <v>144</v>
      </c>
      <c r="E14" s="65"/>
      <c r="F14" s="65"/>
      <c r="G14" s="66">
        <f>G13</f>
        <v>8.1</v>
      </c>
      <c r="H14" s="67">
        <v>10</v>
      </c>
      <c r="I14" s="65"/>
      <c r="J14" s="65">
        <v>0.7</v>
      </c>
      <c r="K14" s="68" t="s">
        <v>158</v>
      </c>
      <c r="L14" s="69"/>
      <c r="M14" s="71">
        <f>(G14+H14)*J14</f>
        <v>12.67</v>
      </c>
      <c r="N14" s="72" t="s">
        <v>38</v>
      </c>
      <c r="O14" s="57"/>
      <c r="P14" s="262"/>
      <c r="Q14" s="6"/>
      <c r="R14" s="6"/>
      <c r="S14" s="6"/>
    </row>
    <row r="15" spans="1:19" ht="25.5" customHeight="1" x14ac:dyDescent="0.25">
      <c r="A15" s="261"/>
      <c r="B15" s="214"/>
      <c r="C15" s="184"/>
      <c r="D15" s="100" t="s">
        <v>153</v>
      </c>
      <c r="E15" s="189"/>
      <c r="F15" s="65"/>
      <c r="G15" s="66">
        <f>G14</f>
        <v>8.1</v>
      </c>
      <c r="H15" s="67">
        <v>10</v>
      </c>
      <c r="I15" s="65"/>
      <c r="J15" s="65">
        <v>0.7</v>
      </c>
      <c r="K15" s="68" t="s">
        <v>148</v>
      </c>
      <c r="L15" s="69"/>
      <c r="M15" s="71">
        <f>(G15*H15)+J15</f>
        <v>81.7</v>
      </c>
      <c r="N15" s="72" t="s">
        <v>18</v>
      </c>
      <c r="O15" s="57"/>
      <c r="P15" s="262"/>
      <c r="Q15" s="6"/>
      <c r="R15" s="6"/>
      <c r="S15" s="6"/>
    </row>
    <row r="16" spans="1:19" ht="25.5" customHeight="1" x14ac:dyDescent="0.25">
      <c r="A16" s="261"/>
      <c r="B16" s="63"/>
      <c r="C16" s="181"/>
      <c r="D16" s="100"/>
      <c r="E16" s="189"/>
      <c r="F16" s="65"/>
      <c r="G16" s="66"/>
      <c r="H16" s="67"/>
      <c r="I16" s="65"/>
      <c r="J16" s="65"/>
      <c r="K16" s="68"/>
      <c r="L16" s="69"/>
      <c r="M16" s="71"/>
      <c r="N16" s="72"/>
      <c r="O16" s="57"/>
      <c r="P16" s="262"/>
      <c r="Q16" s="6"/>
      <c r="R16" s="6"/>
      <c r="S16" s="6"/>
    </row>
    <row r="17" spans="1:19" ht="25.5" customHeight="1" x14ac:dyDescent="0.25">
      <c r="A17" s="261"/>
      <c r="B17" s="213"/>
      <c r="C17" s="53"/>
      <c r="D17" s="100" t="s">
        <v>138</v>
      </c>
      <c r="E17" s="65"/>
      <c r="F17" s="65"/>
      <c r="G17" s="66">
        <v>2.2000000000000002</v>
      </c>
      <c r="H17" s="67">
        <v>0.2</v>
      </c>
      <c r="I17" s="65">
        <v>2.1</v>
      </c>
      <c r="J17" s="65"/>
      <c r="K17" s="288" t="s">
        <v>149</v>
      </c>
      <c r="L17" s="289"/>
      <c r="M17" s="71">
        <f>G17*H17*I17</f>
        <v>0.92400000000000015</v>
      </c>
      <c r="N17" s="72" t="s">
        <v>38</v>
      </c>
      <c r="O17" s="57"/>
      <c r="P17" s="262"/>
      <c r="Q17" s="6"/>
      <c r="R17" s="6"/>
      <c r="S17" s="6"/>
    </row>
    <row r="18" spans="1:19" ht="28.5" x14ac:dyDescent="0.25">
      <c r="A18" s="261"/>
      <c r="B18" s="213" t="s">
        <v>178</v>
      </c>
      <c r="C18" s="53"/>
      <c r="D18" s="100" t="s">
        <v>139</v>
      </c>
      <c r="E18" s="189"/>
      <c r="F18" s="65"/>
      <c r="G18" s="66">
        <v>17</v>
      </c>
      <c r="H18" s="189">
        <v>0.7</v>
      </c>
      <c r="I18" s="190"/>
      <c r="J18" s="190">
        <v>0.1</v>
      </c>
      <c r="K18" s="288" t="s">
        <v>149</v>
      </c>
      <c r="L18" s="289"/>
      <c r="M18" s="71">
        <f>G18*H18*J18</f>
        <v>1.19</v>
      </c>
      <c r="N18" s="72" t="s">
        <v>38</v>
      </c>
      <c r="O18" s="57"/>
      <c r="P18" s="262"/>
      <c r="Q18" s="6"/>
      <c r="R18" s="6"/>
      <c r="S18" s="6"/>
    </row>
    <row r="19" spans="1:19" ht="18.75" x14ac:dyDescent="0.25">
      <c r="A19" s="261"/>
      <c r="B19" s="213"/>
      <c r="C19" s="53"/>
      <c r="D19" s="100" t="s">
        <v>191</v>
      </c>
      <c r="E19" s="189"/>
      <c r="F19" s="65"/>
      <c r="G19" s="66">
        <v>2.4</v>
      </c>
      <c r="H19" s="189">
        <v>0.25</v>
      </c>
      <c r="I19" s="190">
        <v>0.25</v>
      </c>
      <c r="J19" s="190">
        <v>2</v>
      </c>
      <c r="K19" s="288" t="s">
        <v>215</v>
      </c>
      <c r="L19" s="289"/>
      <c r="M19" s="71">
        <f>G19*H19*I19*J19</f>
        <v>0.3</v>
      </c>
      <c r="N19" s="72" t="s">
        <v>38</v>
      </c>
      <c r="O19" s="57"/>
      <c r="P19" s="263"/>
      <c r="Q19" s="6"/>
      <c r="R19" s="6"/>
      <c r="S19" s="6"/>
    </row>
    <row r="20" spans="1:19" ht="18.75" x14ac:dyDescent="0.25">
      <c r="A20" s="261"/>
      <c r="B20" s="213"/>
      <c r="C20" s="53"/>
      <c r="D20" s="100" t="s">
        <v>193</v>
      </c>
      <c r="E20" s="189"/>
      <c r="F20" s="65"/>
      <c r="G20" s="66">
        <v>8.1999999999999993</v>
      </c>
      <c r="H20" s="189">
        <v>10.199999999999999</v>
      </c>
      <c r="I20" s="190">
        <v>0</v>
      </c>
      <c r="J20" s="186">
        <v>1.5</v>
      </c>
      <c r="K20" s="288" t="s">
        <v>183</v>
      </c>
      <c r="L20" s="289"/>
      <c r="M20" s="71">
        <f>(G20+H20+I20)*J20</f>
        <v>27.599999999999998</v>
      </c>
      <c r="N20" s="72" t="s">
        <v>18</v>
      </c>
      <c r="O20" s="57"/>
      <c r="P20" s="262"/>
      <c r="Q20" s="6"/>
      <c r="R20" s="6"/>
      <c r="S20" s="6"/>
    </row>
    <row r="21" spans="1:19" ht="18.75" x14ac:dyDescent="0.25">
      <c r="A21" s="261"/>
      <c r="B21" s="214"/>
      <c r="C21" s="184"/>
      <c r="D21" s="100"/>
      <c r="E21" s="189"/>
      <c r="F21" s="189"/>
      <c r="G21" s="190"/>
      <c r="H21" s="189"/>
      <c r="I21" s="190"/>
      <c r="J21" s="190"/>
      <c r="K21" s="288"/>
      <c r="L21" s="289"/>
      <c r="M21" s="101"/>
      <c r="N21" s="102"/>
      <c r="O21" s="57"/>
      <c r="P21" s="262"/>
      <c r="Q21" s="6"/>
      <c r="R21" s="6"/>
      <c r="S21" s="6"/>
    </row>
    <row r="22" spans="1:19" ht="18.75" x14ac:dyDescent="0.25">
      <c r="A22" s="261"/>
      <c r="B22" s="63"/>
      <c r="C22" s="181"/>
      <c r="D22" s="100"/>
      <c r="E22" s="189"/>
      <c r="F22" s="189"/>
      <c r="G22" s="190"/>
      <c r="H22" s="189"/>
      <c r="I22" s="190"/>
      <c r="J22" s="190"/>
      <c r="K22" s="288"/>
      <c r="L22" s="289"/>
      <c r="M22" s="101"/>
      <c r="N22" s="102"/>
      <c r="O22" s="57"/>
      <c r="P22" s="262"/>
      <c r="Q22" s="6"/>
      <c r="R22" s="6"/>
      <c r="S22" s="6"/>
    </row>
    <row r="23" spans="1:19" ht="24" customHeight="1" x14ac:dyDescent="0.25">
      <c r="A23" s="261"/>
      <c r="B23" s="213"/>
      <c r="C23" s="53"/>
      <c r="D23" s="100" t="s">
        <v>156</v>
      </c>
      <c r="E23" s="65"/>
      <c r="F23" s="65"/>
      <c r="G23" s="66">
        <f>8.05+1.35+3.5+1.35+5.6+1.15+3.07+2.75+0.5</f>
        <v>27.32</v>
      </c>
      <c r="H23" s="67">
        <v>0</v>
      </c>
      <c r="I23" s="65">
        <v>0.2</v>
      </c>
      <c r="J23" s="65">
        <v>0.35</v>
      </c>
      <c r="K23" s="288" t="s">
        <v>157</v>
      </c>
      <c r="L23" s="289"/>
      <c r="M23" s="71">
        <f>(G23+H23)*I23*J23</f>
        <v>1.9124000000000001</v>
      </c>
      <c r="N23" s="72" t="s">
        <v>38</v>
      </c>
      <c r="O23" s="62"/>
      <c r="P23" s="262"/>
      <c r="Q23" s="6"/>
      <c r="R23" s="6"/>
      <c r="S23" s="6"/>
    </row>
    <row r="24" spans="1:19" ht="24" customHeight="1" x14ac:dyDescent="0.25">
      <c r="A24" s="261"/>
      <c r="B24" s="213" t="s">
        <v>176</v>
      </c>
      <c r="C24" s="53"/>
      <c r="D24" s="100" t="s">
        <v>379</v>
      </c>
      <c r="E24" s="65"/>
      <c r="F24" s="65"/>
      <c r="G24" s="66">
        <f>G11</f>
        <v>71.13</v>
      </c>
      <c r="H24" s="67">
        <v>0</v>
      </c>
      <c r="I24" s="65">
        <v>0.25</v>
      </c>
      <c r="J24" s="65"/>
      <c r="K24" s="288" t="s">
        <v>373</v>
      </c>
      <c r="L24" s="289"/>
      <c r="M24" s="71">
        <f>G24*I24</f>
        <v>17.782499999999999</v>
      </c>
      <c r="N24" s="72" t="s">
        <v>38</v>
      </c>
      <c r="O24" s="62"/>
      <c r="P24" s="262"/>
      <c r="Q24" s="6"/>
      <c r="R24" s="6"/>
      <c r="S24" s="6"/>
    </row>
    <row r="25" spans="1:19" ht="24" customHeight="1" x14ac:dyDescent="0.25">
      <c r="A25" s="261"/>
      <c r="B25" s="213"/>
      <c r="C25" s="53"/>
      <c r="D25" s="100" t="s">
        <v>380</v>
      </c>
      <c r="E25" s="65"/>
      <c r="F25" s="65"/>
      <c r="G25" s="66">
        <v>3.75</v>
      </c>
      <c r="H25" s="67">
        <v>0</v>
      </c>
      <c r="I25" s="65">
        <v>0.25</v>
      </c>
      <c r="J25" s="65"/>
      <c r="K25" s="288" t="s">
        <v>373</v>
      </c>
      <c r="L25" s="289"/>
      <c r="M25" s="71">
        <f>G25*I25</f>
        <v>0.9375</v>
      </c>
      <c r="N25" s="72" t="s">
        <v>38</v>
      </c>
      <c r="O25" s="62"/>
      <c r="P25" s="262"/>
      <c r="Q25" s="6"/>
      <c r="R25" s="6"/>
      <c r="S25" s="6"/>
    </row>
    <row r="26" spans="1:19" ht="24" customHeight="1" x14ac:dyDescent="0.25">
      <c r="A26" s="261"/>
      <c r="B26" s="213"/>
      <c r="C26" s="53"/>
      <c r="D26" s="100" t="s">
        <v>216</v>
      </c>
      <c r="E26" s="65"/>
      <c r="F26" s="65"/>
      <c r="G26" s="66">
        <f>G24+G25</f>
        <v>74.88</v>
      </c>
      <c r="H26" s="67">
        <v>0</v>
      </c>
      <c r="I26" s="65"/>
      <c r="J26" s="65">
        <v>0.05</v>
      </c>
      <c r="K26" s="288" t="s">
        <v>160</v>
      </c>
      <c r="L26" s="289"/>
      <c r="M26" s="71">
        <f>(G26+H26)*J26</f>
        <v>3.7439999999999998</v>
      </c>
      <c r="N26" s="72" t="s">
        <v>38</v>
      </c>
      <c r="O26" s="62"/>
      <c r="P26" s="262"/>
      <c r="Q26" s="6"/>
      <c r="R26" s="6"/>
      <c r="S26" s="6"/>
    </row>
    <row r="27" spans="1:19" ht="24" customHeight="1" x14ac:dyDescent="0.25">
      <c r="A27" s="261"/>
      <c r="B27" s="213"/>
      <c r="C27" s="53"/>
      <c r="D27" s="100" t="s">
        <v>162</v>
      </c>
      <c r="E27" s="65"/>
      <c r="F27" s="65"/>
      <c r="G27" s="66">
        <v>68.61</v>
      </c>
      <c r="H27" s="67">
        <v>0</v>
      </c>
      <c r="I27" s="65"/>
      <c r="J27" s="65">
        <v>2.2000000000000002</v>
      </c>
      <c r="K27" s="288" t="s">
        <v>160</v>
      </c>
      <c r="L27" s="289"/>
      <c r="M27" s="71">
        <f>(G27+H27)*J27</f>
        <v>150.94200000000001</v>
      </c>
      <c r="N27" s="72" t="s">
        <v>94</v>
      </c>
      <c r="O27" s="62"/>
      <c r="P27" s="262"/>
      <c r="Q27" s="6"/>
      <c r="R27" s="6"/>
      <c r="S27" s="6"/>
    </row>
    <row r="28" spans="1:19" ht="24" customHeight="1" x14ac:dyDescent="0.25">
      <c r="A28" s="261"/>
      <c r="B28" s="213"/>
      <c r="C28" s="53"/>
      <c r="D28" s="100" t="s">
        <v>170</v>
      </c>
      <c r="E28" s="65"/>
      <c r="F28" s="65"/>
      <c r="G28" s="67">
        <v>118</v>
      </c>
      <c r="H28" s="67"/>
      <c r="I28" s="65">
        <f>8.25*4*2+9.6*4</f>
        <v>104.4</v>
      </c>
      <c r="J28" s="65">
        <v>0.61699999999999999</v>
      </c>
      <c r="K28" s="288" t="s">
        <v>240</v>
      </c>
      <c r="L28" s="289"/>
      <c r="M28" s="71">
        <f>G28+(I28*J28)</f>
        <v>182.41480000000001</v>
      </c>
      <c r="N28" s="72" t="s">
        <v>94</v>
      </c>
      <c r="O28" s="62"/>
      <c r="P28" s="262"/>
      <c r="Q28" s="6"/>
      <c r="R28" s="6"/>
      <c r="S28" s="6"/>
    </row>
    <row r="29" spans="1:19" ht="24" customHeight="1" x14ac:dyDescent="0.25">
      <c r="A29" s="261"/>
      <c r="B29" s="213"/>
      <c r="C29" s="53"/>
      <c r="D29" s="100"/>
      <c r="E29" s="65"/>
      <c r="F29" s="65"/>
      <c r="G29" s="67"/>
      <c r="H29" s="67"/>
      <c r="I29" s="65"/>
      <c r="J29" s="65"/>
      <c r="K29" s="191"/>
      <c r="L29" s="192"/>
      <c r="M29" s="71"/>
      <c r="N29" s="72"/>
      <c r="O29" s="62"/>
      <c r="P29" s="262"/>
      <c r="Q29" s="6"/>
      <c r="R29" s="6"/>
      <c r="S29" s="6"/>
    </row>
    <row r="30" spans="1:19" ht="24" customHeight="1" x14ac:dyDescent="0.25">
      <c r="A30" s="261"/>
      <c r="B30" s="213"/>
      <c r="C30" s="53"/>
      <c r="D30" s="100" t="s">
        <v>171</v>
      </c>
      <c r="E30" s="65"/>
      <c r="F30" s="65"/>
      <c r="G30" s="67">
        <f>27+15</f>
        <v>42</v>
      </c>
      <c r="H30" s="67"/>
      <c r="I30" s="65"/>
      <c r="J30" s="65"/>
      <c r="K30" s="288" t="s">
        <v>182</v>
      </c>
      <c r="L30" s="289"/>
      <c r="M30" s="71">
        <f>G30+H30</f>
        <v>42</v>
      </c>
      <c r="N30" s="72" t="s">
        <v>94</v>
      </c>
      <c r="O30" s="62"/>
      <c r="P30" s="263"/>
      <c r="Q30" s="6"/>
      <c r="R30" s="6"/>
      <c r="S30" s="6"/>
    </row>
    <row r="31" spans="1:19" ht="24" customHeight="1" x14ac:dyDescent="0.25">
      <c r="A31" s="261"/>
      <c r="B31" s="213"/>
      <c r="C31" s="53"/>
      <c r="D31" s="100" t="s">
        <v>159</v>
      </c>
      <c r="E31" s="65"/>
      <c r="F31" s="65"/>
      <c r="G31" s="66">
        <f>8.25+8.25+10+1.4</f>
        <v>27.9</v>
      </c>
      <c r="H31" s="67"/>
      <c r="I31" s="65"/>
      <c r="J31" s="65">
        <v>0.2</v>
      </c>
      <c r="K31" s="288" t="s">
        <v>182</v>
      </c>
      <c r="L31" s="289"/>
      <c r="M31" s="71">
        <f>(G31+H31)*J31</f>
        <v>5.58</v>
      </c>
      <c r="N31" s="72" t="s">
        <v>18</v>
      </c>
      <c r="O31" s="62"/>
      <c r="P31" s="262"/>
      <c r="Q31" s="6"/>
      <c r="R31" s="6"/>
      <c r="S31" s="6"/>
    </row>
    <row r="32" spans="1:19" ht="24" customHeight="1" x14ac:dyDescent="0.25">
      <c r="A32" s="261"/>
      <c r="B32" s="213"/>
      <c r="C32" s="53"/>
      <c r="D32" s="100" t="s">
        <v>388</v>
      </c>
      <c r="E32" s="65"/>
      <c r="F32" s="65"/>
      <c r="G32" s="66">
        <f>M11</f>
        <v>71.13</v>
      </c>
      <c r="H32" s="67"/>
      <c r="I32" s="65"/>
      <c r="J32" s="277">
        <v>0.125</v>
      </c>
      <c r="K32" s="191" t="s">
        <v>197</v>
      </c>
      <c r="L32" s="192"/>
      <c r="M32" s="71">
        <f>G32*J32</f>
        <v>8.8912499999999994</v>
      </c>
      <c r="N32" s="72" t="s">
        <v>38</v>
      </c>
      <c r="O32" s="62"/>
      <c r="P32" s="262"/>
      <c r="Q32" s="6"/>
      <c r="R32" s="6"/>
      <c r="S32" s="6"/>
    </row>
    <row r="33" spans="1:19" ht="24" customHeight="1" x14ac:dyDescent="0.25">
      <c r="A33" s="261"/>
      <c r="B33" s="213"/>
      <c r="C33" s="53"/>
      <c r="D33" s="100" t="s">
        <v>243</v>
      </c>
      <c r="E33" s="65"/>
      <c r="F33" s="65"/>
      <c r="G33" s="66">
        <f>G25</f>
        <v>3.75</v>
      </c>
      <c r="H33" s="67">
        <v>0</v>
      </c>
      <c r="I33" s="65">
        <v>0</v>
      </c>
      <c r="J33" s="65">
        <v>0.06</v>
      </c>
      <c r="K33" s="288" t="s">
        <v>366</v>
      </c>
      <c r="L33" s="289"/>
      <c r="M33" s="71">
        <f>(G33+H33+I33)*J33</f>
        <v>0.22499999999999998</v>
      </c>
      <c r="N33" s="72" t="s">
        <v>38</v>
      </c>
      <c r="O33" s="62"/>
      <c r="P33" s="262"/>
      <c r="Q33" s="6"/>
      <c r="R33" s="6"/>
      <c r="S33" s="6"/>
    </row>
    <row r="34" spans="1:19" ht="24" customHeight="1" x14ac:dyDescent="0.25">
      <c r="A34" s="261"/>
      <c r="B34" s="213"/>
      <c r="C34" s="53"/>
      <c r="D34" s="100" t="s">
        <v>241</v>
      </c>
      <c r="E34" s="65"/>
      <c r="F34" s="65"/>
      <c r="G34" s="66">
        <f>G32+G33</f>
        <v>74.88</v>
      </c>
      <c r="H34" s="67"/>
      <c r="I34" s="65"/>
      <c r="J34" s="65">
        <v>0.02</v>
      </c>
      <c r="K34" s="288" t="s">
        <v>242</v>
      </c>
      <c r="L34" s="289"/>
      <c r="M34" s="71">
        <f>(G34+H34+I34)*J34</f>
        <v>1.4976</v>
      </c>
      <c r="N34" s="72" t="s">
        <v>38</v>
      </c>
      <c r="O34" s="62"/>
      <c r="P34" s="262"/>
      <c r="Q34" s="6"/>
      <c r="R34" s="6"/>
      <c r="S34" s="6"/>
    </row>
    <row r="35" spans="1:19" ht="24" customHeight="1" x14ac:dyDescent="0.25">
      <c r="A35" s="261"/>
      <c r="B35" s="214"/>
      <c r="C35" s="184"/>
      <c r="D35" s="100" t="s">
        <v>194</v>
      </c>
      <c r="E35" s="65"/>
      <c r="F35" s="65"/>
      <c r="G35" s="66">
        <f>G23+H23</f>
        <v>27.32</v>
      </c>
      <c r="H35" s="67">
        <v>0.2</v>
      </c>
      <c r="I35" s="65">
        <v>0.3</v>
      </c>
      <c r="J35" s="65"/>
      <c r="K35" s="288" t="s">
        <v>195</v>
      </c>
      <c r="L35" s="289"/>
      <c r="M35" s="71">
        <f>G35*H35*I35</f>
        <v>1.6392</v>
      </c>
      <c r="N35" s="72" t="s">
        <v>38</v>
      </c>
      <c r="O35" s="62"/>
      <c r="P35" s="262"/>
      <c r="Q35" s="6"/>
      <c r="R35" s="6"/>
      <c r="S35" s="6"/>
    </row>
    <row r="36" spans="1:19" ht="24" customHeight="1" x14ac:dyDescent="0.25">
      <c r="A36" s="261"/>
      <c r="B36" s="213"/>
      <c r="C36" s="53"/>
      <c r="D36" s="175"/>
      <c r="E36" s="176"/>
      <c r="F36" s="176"/>
      <c r="G36" s="177"/>
      <c r="H36" s="178"/>
      <c r="I36" s="176"/>
      <c r="J36" s="176"/>
      <c r="K36" s="288"/>
      <c r="L36" s="289"/>
      <c r="M36" s="179"/>
      <c r="N36" s="180"/>
      <c r="O36" s="62"/>
      <c r="P36" s="262"/>
      <c r="Q36" s="6"/>
      <c r="R36" s="6"/>
      <c r="S36" s="6"/>
    </row>
    <row r="37" spans="1:19" ht="24" customHeight="1" x14ac:dyDescent="0.25">
      <c r="A37" s="261"/>
      <c r="B37" s="213" t="s">
        <v>177</v>
      </c>
      <c r="C37" s="53"/>
      <c r="D37" s="100" t="s">
        <v>174</v>
      </c>
      <c r="E37" s="65"/>
      <c r="F37" s="65"/>
      <c r="G37" s="66">
        <v>14.12</v>
      </c>
      <c r="H37" s="67">
        <v>9.42</v>
      </c>
      <c r="I37" s="65"/>
      <c r="J37" s="65">
        <v>5</v>
      </c>
      <c r="K37" s="288" t="s">
        <v>377</v>
      </c>
      <c r="L37" s="289"/>
      <c r="M37" s="71">
        <f>(G37+H37)/J37</f>
        <v>4.7080000000000002</v>
      </c>
      <c r="N37" s="72" t="s">
        <v>18</v>
      </c>
      <c r="O37" s="62"/>
      <c r="P37" s="262"/>
      <c r="Q37" s="6"/>
      <c r="R37" s="6"/>
      <c r="S37" s="6"/>
    </row>
    <row r="38" spans="1:19" ht="24" customHeight="1" x14ac:dyDescent="0.25">
      <c r="A38" s="261"/>
      <c r="B38" s="213"/>
      <c r="C38" s="53"/>
      <c r="D38" s="100" t="s">
        <v>175</v>
      </c>
      <c r="E38" s="65"/>
      <c r="F38" s="65"/>
      <c r="G38" s="66">
        <v>28.8</v>
      </c>
      <c r="H38" s="67">
        <v>6.4</v>
      </c>
      <c r="I38" s="67"/>
      <c r="J38" s="65">
        <v>5</v>
      </c>
      <c r="K38" s="288" t="s">
        <v>378</v>
      </c>
      <c r="L38" s="289"/>
      <c r="M38" s="71">
        <f>(G38+H38)/J38</f>
        <v>7.0400000000000009</v>
      </c>
      <c r="N38" s="72" t="s">
        <v>18</v>
      </c>
      <c r="O38" s="62"/>
      <c r="P38" s="262"/>
      <c r="Q38" s="6"/>
      <c r="R38" s="6"/>
      <c r="S38" s="6"/>
    </row>
    <row r="39" spans="1:19" ht="24" customHeight="1" x14ac:dyDescent="0.25">
      <c r="A39" s="261"/>
      <c r="B39" s="213"/>
      <c r="C39" s="53"/>
      <c r="D39" s="100" t="s">
        <v>161</v>
      </c>
      <c r="E39" s="65"/>
      <c r="F39" s="65"/>
      <c r="G39" s="66">
        <v>2.12</v>
      </c>
      <c r="H39" s="65">
        <f>1.12+0.75</f>
        <v>1.87</v>
      </c>
      <c r="I39" s="65"/>
      <c r="J39" s="65">
        <v>0</v>
      </c>
      <c r="K39" s="288" t="s">
        <v>181</v>
      </c>
      <c r="L39" s="289"/>
      <c r="M39" s="71">
        <f>G39+H39</f>
        <v>3.99</v>
      </c>
      <c r="N39" s="72" t="s">
        <v>38</v>
      </c>
      <c r="O39" s="62"/>
      <c r="P39" s="262"/>
      <c r="Q39" s="6"/>
      <c r="R39" s="6"/>
      <c r="S39" s="6"/>
    </row>
    <row r="40" spans="1:19" ht="24" customHeight="1" x14ac:dyDescent="0.25">
      <c r="A40" s="261"/>
      <c r="B40" s="213"/>
      <c r="C40" s="53"/>
      <c r="D40" s="100"/>
      <c r="E40" s="65"/>
      <c r="F40" s="65">
        <f>1.72+0.3</f>
        <v>2.02</v>
      </c>
      <c r="G40" s="65" t="s">
        <v>173</v>
      </c>
      <c r="H40" s="67" t="s">
        <v>172</v>
      </c>
      <c r="I40" s="65"/>
      <c r="J40" s="65"/>
      <c r="K40" s="288"/>
      <c r="L40" s="289"/>
      <c r="M40" s="71"/>
      <c r="N40" s="72"/>
      <c r="O40" s="62"/>
      <c r="P40" s="263"/>
      <c r="Q40" s="6"/>
      <c r="R40" s="6"/>
      <c r="S40" s="6"/>
    </row>
    <row r="41" spans="1:19" ht="24" customHeight="1" x14ac:dyDescent="0.25">
      <c r="A41" s="261"/>
      <c r="B41" s="213"/>
      <c r="C41" s="53"/>
      <c r="D41" s="100" t="s">
        <v>170</v>
      </c>
      <c r="E41" s="65"/>
      <c r="F41" s="65"/>
      <c r="G41" s="67">
        <v>222</v>
      </c>
      <c r="H41" s="67">
        <v>81</v>
      </c>
      <c r="I41" s="65"/>
      <c r="J41" s="65"/>
      <c r="K41" s="288"/>
      <c r="L41" s="289"/>
      <c r="M41" s="71">
        <f>G41+H41+I41+J41</f>
        <v>303</v>
      </c>
      <c r="N41" s="72"/>
      <c r="O41" s="62"/>
      <c r="P41" s="262"/>
      <c r="Q41" s="6"/>
      <c r="R41" s="6"/>
      <c r="S41" s="6"/>
    </row>
    <row r="42" spans="1:19" ht="24" customHeight="1" x14ac:dyDescent="0.25">
      <c r="A42" s="261"/>
      <c r="B42" s="213"/>
      <c r="C42" s="53"/>
      <c r="D42" s="100" t="s">
        <v>171</v>
      </c>
      <c r="E42" s="65"/>
      <c r="F42" s="65"/>
      <c r="G42" s="67">
        <v>59</v>
      </c>
      <c r="H42" s="67">
        <v>29</v>
      </c>
      <c r="I42" s="65"/>
      <c r="J42" s="65"/>
      <c r="K42" s="288"/>
      <c r="L42" s="289"/>
      <c r="M42" s="71">
        <f>G42+H42+I42+J42</f>
        <v>88</v>
      </c>
      <c r="N42" s="72"/>
      <c r="O42" s="62"/>
      <c r="P42" s="262"/>
      <c r="Q42" s="6"/>
      <c r="R42" s="6"/>
      <c r="S42" s="6"/>
    </row>
    <row r="43" spans="1:19" ht="24" customHeight="1" x14ac:dyDescent="0.25">
      <c r="A43" s="261"/>
      <c r="B43" s="213"/>
      <c r="C43" s="53"/>
      <c r="D43" s="100"/>
      <c r="E43" s="65"/>
      <c r="F43" s="65"/>
      <c r="G43" s="66"/>
      <c r="H43" s="66"/>
      <c r="I43" s="65"/>
      <c r="J43" s="65"/>
      <c r="K43" s="288"/>
      <c r="L43" s="289"/>
      <c r="M43" s="71"/>
      <c r="N43" s="72"/>
      <c r="O43" s="62"/>
      <c r="P43" s="262"/>
      <c r="Q43" s="6"/>
      <c r="R43" s="6"/>
      <c r="S43" s="6"/>
    </row>
    <row r="44" spans="1:19" ht="24" customHeight="1" x14ac:dyDescent="0.25">
      <c r="A44" s="261"/>
      <c r="B44" s="213"/>
      <c r="C44" s="53"/>
      <c r="D44" s="104" t="s">
        <v>179</v>
      </c>
      <c r="E44" s="65"/>
      <c r="F44" s="65"/>
      <c r="G44" s="66"/>
      <c r="H44" s="65"/>
      <c r="I44" s="65"/>
      <c r="J44" s="65"/>
      <c r="K44" s="288" t="s">
        <v>180</v>
      </c>
      <c r="L44" s="289"/>
      <c r="M44" s="71">
        <f>SUM(M46:M51)</f>
        <v>949.06349999999998</v>
      </c>
      <c r="N44" s="72" t="s">
        <v>94</v>
      </c>
      <c r="O44" s="62"/>
      <c r="P44" s="262"/>
      <c r="Q44" s="6"/>
      <c r="R44" s="6"/>
      <c r="S44" s="6"/>
    </row>
    <row r="45" spans="1:19" ht="24" customHeight="1" x14ac:dyDescent="0.25">
      <c r="A45" s="261"/>
      <c r="B45" s="213"/>
      <c r="C45" s="53"/>
      <c r="D45" s="104"/>
      <c r="E45" s="103" t="s">
        <v>188</v>
      </c>
      <c r="F45" s="103" t="s">
        <v>132</v>
      </c>
      <c r="G45" s="103" t="s">
        <v>189</v>
      </c>
      <c r="H45" s="103" t="s">
        <v>190</v>
      </c>
      <c r="I45" s="103"/>
      <c r="J45" s="65"/>
      <c r="K45" s="191"/>
      <c r="L45" s="192"/>
      <c r="M45" s="107" t="s">
        <v>11</v>
      </c>
      <c r="N45" s="108"/>
      <c r="O45" s="62"/>
      <c r="P45" s="262"/>
      <c r="Q45" s="6"/>
      <c r="R45" s="6"/>
      <c r="S45" s="6"/>
    </row>
    <row r="46" spans="1:19" ht="24" customHeight="1" x14ac:dyDescent="0.25">
      <c r="A46" s="261"/>
      <c r="B46" s="213"/>
      <c r="C46" s="53"/>
      <c r="D46" s="104" t="s">
        <v>184</v>
      </c>
      <c r="E46" s="105">
        <v>13.17</v>
      </c>
      <c r="F46" s="105">
        <v>2</v>
      </c>
      <c r="G46" s="106">
        <v>20</v>
      </c>
      <c r="H46" s="105"/>
      <c r="I46" s="105"/>
      <c r="J46" s="65"/>
      <c r="K46" s="191"/>
      <c r="L46" s="192"/>
      <c r="M46" s="107">
        <f>E46*F46*G46</f>
        <v>526.79999999999995</v>
      </c>
      <c r="N46" s="109" t="s">
        <v>94</v>
      </c>
      <c r="O46" s="62"/>
      <c r="P46" s="262"/>
      <c r="Q46" s="6"/>
      <c r="R46" s="6"/>
      <c r="S46" s="6"/>
    </row>
    <row r="47" spans="1:19" ht="24" customHeight="1" x14ac:dyDescent="0.25">
      <c r="A47" s="261"/>
      <c r="B47" s="213"/>
      <c r="C47" s="53"/>
      <c r="D47" s="104" t="s">
        <v>185</v>
      </c>
      <c r="E47" s="105">
        <v>5.25</v>
      </c>
      <c r="F47" s="105">
        <v>1</v>
      </c>
      <c r="G47" s="105">
        <f>8.2*4+6.85*5</f>
        <v>67.05</v>
      </c>
      <c r="H47" s="105"/>
      <c r="I47" s="105"/>
      <c r="J47" s="65"/>
      <c r="K47" s="191"/>
      <c r="L47" s="192"/>
      <c r="M47" s="107">
        <f>E47*F47*G47</f>
        <v>352.01249999999999</v>
      </c>
      <c r="N47" s="109" t="s">
        <v>94</v>
      </c>
      <c r="O47" s="62"/>
      <c r="P47" s="262"/>
      <c r="Q47" s="6"/>
      <c r="R47" s="6"/>
      <c r="S47" s="6"/>
    </row>
    <row r="48" spans="1:19" ht="24" customHeight="1" x14ac:dyDescent="0.25">
      <c r="A48" s="261"/>
      <c r="B48" s="213"/>
      <c r="C48" s="53"/>
      <c r="D48" s="104" t="s">
        <v>244</v>
      </c>
      <c r="E48" s="105">
        <v>1.5</v>
      </c>
      <c r="F48" s="105">
        <v>20</v>
      </c>
      <c r="G48" s="106">
        <v>0.63</v>
      </c>
      <c r="H48" s="105"/>
      <c r="I48" s="105"/>
      <c r="J48" s="65"/>
      <c r="K48" s="191"/>
      <c r="L48" s="192"/>
      <c r="M48" s="107">
        <f>E48*F48*G48</f>
        <v>18.899999999999999</v>
      </c>
      <c r="N48" s="109" t="s">
        <v>94</v>
      </c>
      <c r="O48" s="62"/>
      <c r="P48" s="262"/>
      <c r="Q48" s="6"/>
      <c r="R48" s="6"/>
      <c r="S48" s="6"/>
    </row>
    <row r="49" spans="1:19" ht="24" customHeight="1" x14ac:dyDescent="0.25">
      <c r="A49" s="261"/>
      <c r="B49" s="213"/>
      <c r="C49" s="53"/>
      <c r="D49" s="104" t="s">
        <v>245</v>
      </c>
      <c r="E49" s="105">
        <v>1.83</v>
      </c>
      <c r="F49" s="105">
        <v>1</v>
      </c>
      <c r="G49" s="106">
        <v>9.9</v>
      </c>
      <c r="H49" s="105"/>
      <c r="I49" s="105"/>
      <c r="J49" s="65"/>
      <c r="K49" s="191"/>
      <c r="L49" s="192"/>
      <c r="M49" s="107">
        <f>E49*F49*G49</f>
        <v>18.117000000000001</v>
      </c>
      <c r="N49" s="109" t="s">
        <v>94</v>
      </c>
      <c r="O49" s="62"/>
      <c r="P49" s="262"/>
      <c r="Q49" s="6"/>
      <c r="R49" s="6"/>
      <c r="S49" s="6"/>
    </row>
    <row r="50" spans="1:19" ht="24" customHeight="1" x14ac:dyDescent="0.25">
      <c r="A50" s="261"/>
      <c r="B50" s="213"/>
      <c r="C50" s="53"/>
      <c r="D50" s="104" t="s">
        <v>186</v>
      </c>
      <c r="E50" s="105">
        <v>49.39</v>
      </c>
      <c r="F50" s="105">
        <v>4</v>
      </c>
      <c r="G50" s="105">
        <v>0.25</v>
      </c>
      <c r="H50" s="105">
        <v>0.6</v>
      </c>
      <c r="I50" s="105"/>
      <c r="J50" s="65"/>
      <c r="K50" s="191"/>
      <c r="L50" s="192"/>
      <c r="M50" s="107">
        <f>E50*F50*G50*H50</f>
        <v>29.634</v>
      </c>
      <c r="N50" s="109" t="s">
        <v>94</v>
      </c>
      <c r="O50" s="62"/>
      <c r="P50" s="263"/>
      <c r="Q50" s="6"/>
      <c r="R50" s="6"/>
      <c r="S50" s="6"/>
    </row>
    <row r="51" spans="1:19" ht="24" customHeight="1" x14ac:dyDescent="0.25">
      <c r="A51" s="261"/>
      <c r="B51" s="213"/>
      <c r="C51" s="53"/>
      <c r="D51" s="104" t="s">
        <v>187</v>
      </c>
      <c r="E51" s="105">
        <v>30</v>
      </c>
      <c r="F51" s="105">
        <v>4</v>
      </c>
      <c r="G51" s="105">
        <v>0.15</v>
      </c>
      <c r="H51" s="105">
        <v>0.2</v>
      </c>
      <c r="I51" s="105"/>
      <c r="J51" s="65"/>
      <c r="K51" s="191"/>
      <c r="L51" s="192"/>
      <c r="M51" s="107">
        <f>E51*F51*G51*H51</f>
        <v>3.6</v>
      </c>
      <c r="N51" s="109" t="s">
        <v>94</v>
      </c>
      <c r="O51" s="62"/>
      <c r="P51" s="262"/>
      <c r="Q51" s="6"/>
      <c r="R51" s="6"/>
      <c r="S51" s="6"/>
    </row>
    <row r="52" spans="1:19" ht="24" customHeight="1" x14ac:dyDescent="0.25">
      <c r="A52" s="261"/>
      <c r="B52" s="214"/>
      <c r="C52" s="53"/>
      <c r="D52" s="100"/>
      <c r="E52" s="65"/>
      <c r="F52" s="65"/>
      <c r="G52" s="66"/>
      <c r="H52" s="65"/>
      <c r="I52" s="65"/>
      <c r="J52" s="65"/>
      <c r="K52" s="191"/>
      <c r="L52" s="192"/>
      <c r="M52" s="71"/>
      <c r="N52" s="72"/>
      <c r="O52" s="62"/>
      <c r="P52" s="262"/>
      <c r="Q52" s="6"/>
      <c r="R52" s="6"/>
      <c r="S52" s="6"/>
    </row>
    <row r="53" spans="1:19" ht="18.75" x14ac:dyDescent="0.25">
      <c r="A53" s="261"/>
      <c r="B53" s="213"/>
      <c r="C53" s="53"/>
      <c r="D53" s="100" t="s">
        <v>199</v>
      </c>
      <c r="E53" s="189"/>
      <c r="F53" s="189"/>
      <c r="G53" s="66">
        <f>G24</f>
        <v>71.13</v>
      </c>
      <c r="H53" s="67">
        <f>H24</f>
        <v>0</v>
      </c>
      <c r="I53" s="65"/>
      <c r="J53" s="65">
        <v>0.03</v>
      </c>
      <c r="K53" s="288" t="s">
        <v>158</v>
      </c>
      <c r="L53" s="289"/>
      <c r="M53" s="71">
        <f>(G53+H53)*J53</f>
        <v>2.1338999999999997</v>
      </c>
      <c r="N53" s="72" t="s">
        <v>18</v>
      </c>
      <c r="O53" s="62"/>
      <c r="P53" s="262"/>
      <c r="Q53" s="6"/>
      <c r="R53" s="6"/>
      <c r="S53" s="6"/>
    </row>
    <row r="54" spans="1:19" ht="24" customHeight="1" x14ac:dyDescent="0.25">
      <c r="A54" s="261"/>
      <c r="B54" s="213"/>
      <c r="C54" s="53"/>
      <c r="D54" s="100" t="s">
        <v>201</v>
      </c>
      <c r="E54" s="65"/>
      <c r="F54" s="65"/>
      <c r="G54" s="66">
        <f>G53</f>
        <v>71.13</v>
      </c>
      <c r="H54" s="67">
        <v>12.98</v>
      </c>
      <c r="I54" s="65"/>
      <c r="J54" s="110">
        <v>2.5000000000000001E-2</v>
      </c>
      <c r="K54" s="288" t="s">
        <v>158</v>
      </c>
      <c r="L54" s="289"/>
      <c r="M54" s="71">
        <f>(G54+H54)*J54</f>
        <v>2.1027499999999999</v>
      </c>
      <c r="N54" s="72" t="s">
        <v>18</v>
      </c>
      <c r="O54" s="62"/>
      <c r="P54" s="262"/>
      <c r="Q54" s="6"/>
      <c r="R54" s="6"/>
      <c r="S54" s="6"/>
    </row>
    <row r="55" spans="1:19" ht="24" customHeight="1" x14ac:dyDescent="0.25">
      <c r="A55" s="261"/>
      <c r="B55" s="213"/>
      <c r="C55" s="53"/>
      <c r="D55" s="100" t="s">
        <v>120</v>
      </c>
      <c r="E55" s="65"/>
      <c r="F55" s="65"/>
      <c r="G55" s="66">
        <v>65.67</v>
      </c>
      <c r="H55" s="67">
        <v>0</v>
      </c>
      <c r="I55" s="65"/>
      <c r="J55" s="65"/>
      <c r="K55" s="288" t="s">
        <v>200</v>
      </c>
      <c r="L55" s="289"/>
      <c r="M55" s="71">
        <f>G55+H55</f>
        <v>65.67</v>
      </c>
      <c r="N55" s="72" t="s">
        <v>18</v>
      </c>
      <c r="O55" s="62"/>
      <c r="P55" s="262"/>
      <c r="Q55" s="6"/>
      <c r="R55" s="6"/>
      <c r="S55" s="6"/>
    </row>
    <row r="56" spans="1:19" ht="24" customHeight="1" x14ac:dyDescent="0.25">
      <c r="A56" s="261"/>
      <c r="B56" s="213"/>
      <c r="C56" s="53"/>
      <c r="D56" s="100" t="s">
        <v>121</v>
      </c>
      <c r="E56" s="65"/>
      <c r="F56" s="65"/>
      <c r="G56" s="66">
        <v>3.87</v>
      </c>
      <c r="H56" s="67">
        <v>0.7</v>
      </c>
      <c r="I56" s="65"/>
      <c r="J56" s="65"/>
      <c r="K56" s="68" t="s">
        <v>227</v>
      </c>
      <c r="L56" s="69"/>
      <c r="M56" s="71">
        <f>G56+H56+I56</f>
        <v>4.57</v>
      </c>
      <c r="N56" s="72" t="s">
        <v>18</v>
      </c>
      <c r="O56" s="62"/>
      <c r="P56" s="262"/>
      <c r="Q56" s="6"/>
      <c r="R56" s="6"/>
      <c r="S56" s="6"/>
    </row>
    <row r="57" spans="1:19" ht="24" customHeight="1" x14ac:dyDescent="0.25">
      <c r="A57" s="261"/>
      <c r="B57" s="213" t="s">
        <v>206</v>
      </c>
      <c r="C57" s="53"/>
      <c r="D57" s="100" t="s">
        <v>122</v>
      </c>
      <c r="E57" s="65"/>
      <c r="F57" s="65"/>
      <c r="G57" s="66">
        <v>3.95</v>
      </c>
      <c r="H57" s="67"/>
      <c r="I57" s="65"/>
      <c r="J57" s="65"/>
      <c r="K57" s="288"/>
      <c r="L57" s="289"/>
      <c r="M57" s="71">
        <f>G57</f>
        <v>3.95</v>
      </c>
      <c r="N57" s="72" t="s">
        <v>18</v>
      </c>
      <c r="O57" s="62"/>
      <c r="P57" s="262"/>
      <c r="Q57" s="6"/>
      <c r="R57" s="6"/>
      <c r="S57" s="6"/>
    </row>
    <row r="58" spans="1:19" ht="24" customHeight="1" x14ac:dyDescent="0.25">
      <c r="A58" s="261"/>
      <c r="B58" s="213"/>
      <c r="C58" s="53"/>
      <c r="D58" s="100" t="s">
        <v>150</v>
      </c>
      <c r="E58" s="65"/>
      <c r="F58" s="65"/>
      <c r="G58" s="66">
        <v>4</v>
      </c>
      <c r="H58" s="67">
        <f>2*0.5</f>
        <v>1</v>
      </c>
      <c r="I58" s="65"/>
      <c r="J58" s="65"/>
      <c r="K58" s="288"/>
      <c r="L58" s="289"/>
      <c r="M58" s="71">
        <f>G58+H58+I58</f>
        <v>5</v>
      </c>
      <c r="N58" s="72" t="s">
        <v>18</v>
      </c>
      <c r="O58" s="62"/>
      <c r="P58" s="262"/>
      <c r="Q58" s="6"/>
      <c r="R58" s="6"/>
      <c r="S58" s="6"/>
    </row>
    <row r="59" spans="1:19" ht="24" customHeight="1" x14ac:dyDescent="0.25">
      <c r="A59" s="261"/>
      <c r="B59" s="213"/>
      <c r="C59" s="53"/>
      <c r="D59" s="100" t="s">
        <v>123</v>
      </c>
      <c r="E59" s="65"/>
      <c r="F59" s="65"/>
      <c r="G59" s="66">
        <f>8.05+3.3+1.35+9.1+5.63+5.73+0.5+1.06+2.4</f>
        <v>37.119999999999997</v>
      </c>
      <c r="H59" s="67"/>
      <c r="I59" s="65"/>
      <c r="J59" s="65"/>
      <c r="K59" s="68" t="s">
        <v>151</v>
      </c>
      <c r="L59" s="69"/>
      <c r="M59" s="71">
        <f>G59+H59</f>
        <v>37.119999999999997</v>
      </c>
      <c r="N59" s="72" t="s">
        <v>95</v>
      </c>
      <c r="O59" s="62"/>
      <c r="P59" s="262"/>
      <c r="Q59" s="6"/>
      <c r="R59" s="6"/>
      <c r="S59" s="6"/>
    </row>
    <row r="60" spans="1:19" ht="24" customHeight="1" x14ac:dyDescent="0.25">
      <c r="A60" s="261"/>
      <c r="B60" s="213"/>
      <c r="C60" s="53"/>
      <c r="D60" s="100" t="s">
        <v>124</v>
      </c>
      <c r="E60" s="65"/>
      <c r="F60" s="65"/>
      <c r="G60" s="66">
        <f>G74*J74</f>
        <v>0.9</v>
      </c>
      <c r="H60" s="67">
        <v>0.9</v>
      </c>
      <c r="I60" s="65"/>
      <c r="J60" s="65"/>
      <c r="K60" s="288" t="s">
        <v>200</v>
      </c>
      <c r="L60" s="289"/>
      <c r="M60" s="71">
        <f>G60+H60+I60+J60</f>
        <v>1.8</v>
      </c>
      <c r="N60" s="72" t="s">
        <v>95</v>
      </c>
      <c r="O60" s="62"/>
      <c r="P60" s="262"/>
      <c r="Q60" s="6"/>
      <c r="R60" s="6"/>
      <c r="S60" s="6"/>
    </row>
    <row r="61" spans="1:19" ht="24" customHeight="1" x14ac:dyDescent="0.25">
      <c r="A61" s="261"/>
      <c r="B61" s="214"/>
      <c r="C61" s="53"/>
      <c r="D61" s="100" t="s">
        <v>125</v>
      </c>
      <c r="E61" s="65"/>
      <c r="F61" s="65"/>
      <c r="G61" s="66">
        <f>G78+G79*J79</f>
        <v>5.5</v>
      </c>
      <c r="H61" s="67"/>
      <c r="I61" s="65"/>
      <c r="J61" s="65"/>
      <c r="K61" s="288" t="s">
        <v>151</v>
      </c>
      <c r="L61" s="289"/>
      <c r="M61" s="71">
        <f>G61</f>
        <v>5.5</v>
      </c>
      <c r="N61" s="72" t="s">
        <v>95</v>
      </c>
      <c r="O61" s="62"/>
      <c r="P61" s="262"/>
      <c r="Q61" s="6"/>
      <c r="R61" s="6"/>
      <c r="S61" s="6"/>
    </row>
    <row r="62" spans="1:19" ht="24" customHeight="1" x14ac:dyDescent="0.25">
      <c r="A62" s="261"/>
      <c r="B62" s="213"/>
      <c r="C62" s="53"/>
      <c r="D62" s="100"/>
      <c r="E62" s="65"/>
      <c r="F62" s="65"/>
      <c r="G62" s="66"/>
      <c r="H62" s="67"/>
      <c r="I62" s="65"/>
      <c r="J62" s="65"/>
      <c r="K62" s="288"/>
      <c r="L62" s="289"/>
      <c r="M62" s="71"/>
      <c r="N62" s="72"/>
      <c r="O62" s="62"/>
      <c r="P62" s="263"/>
      <c r="Q62" s="6"/>
      <c r="R62" s="6"/>
      <c r="S62" s="6"/>
    </row>
    <row r="63" spans="1:19" ht="24" customHeight="1" x14ac:dyDescent="0.25">
      <c r="A63" s="261"/>
      <c r="B63" s="213"/>
      <c r="C63" s="53"/>
      <c r="D63" s="100" t="s">
        <v>202</v>
      </c>
      <c r="E63" s="65"/>
      <c r="F63" s="65"/>
      <c r="G63" s="66">
        <f>G93</f>
        <v>26.62</v>
      </c>
      <c r="H63" s="66"/>
      <c r="I63" s="65"/>
      <c r="J63" s="65">
        <v>4</v>
      </c>
      <c r="K63" s="288" t="s">
        <v>158</v>
      </c>
      <c r="L63" s="289"/>
      <c r="M63" s="71">
        <f t="shared" ref="M63:M64" si="0">(G63+H63)*J63</f>
        <v>106.48</v>
      </c>
      <c r="N63" s="72" t="s">
        <v>18</v>
      </c>
      <c r="O63" s="62"/>
      <c r="P63" s="262"/>
      <c r="Q63" s="6"/>
      <c r="R63" s="6"/>
      <c r="S63" s="6"/>
    </row>
    <row r="64" spans="1:19" ht="24" customHeight="1" x14ac:dyDescent="0.25">
      <c r="A64" s="261"/>
      <c r="B64" s="213" t="s">
        <v>207</v>
      </c>
      <c r="C64" s="53"/>
      <c r="D64" s="100" t="s">
        <v>203</v>
      </c>
      <c r="E64" s="65"/>
      <c r="F64" s="65"/>
      <c r="G64" s="66">
        <f>1.45+10+8.25+8.25+1.23</f>
        <v>29.18</v>
      </c>
      <c r="H64" s="67"/>
      <c r="I64" s="65"/>
      <c r="J64" s="65">
        <v>4</v>
      </c>
      <c r="K64" s="288" t="s">
        <v>158</v>
      </c>
      <c r="L64" s="289"/>
      <c r="M64" s="71">
        <f t="shared" si="0"/>
        <v>116.72</v>
      </c>
      <c r="N64" s="72" t="s">
        <v>18</v>
      </c>
      <c r="O64" s="62"/>
      <c r="P64" s="262"/>
      <c r="Q64" s="6"/>
      <c r="R64" s="6"/>
      <c r="S64" s="6"/>
    </row>
    <row r="65" spans="1:19" ht="24" customHeight="1" x14ac:dyDescent="0.25">
      <c r="A65" s="261"/>
      <c r="B65" s="214"/>
      <c r="C65" s="53"/>
      <c r="D65" s="100"/>
      <c r="E65" s="65"/>
      <c r="F65" s="65"/>
      <c r="G65" s="66"/>
      <c r="H65" s="67"/>
      <c r="I65" s="65"/>
      <c r="J65" s="65"/>
      <c r="K65" s="191"/>
      <c r="L65" s="192"/>
      <c r="M65" s="71"/>
      <c r="N65" s="72"/>
      <c r="O65" s="62"/>
      <c r="P65" s="262"/>
      <c r="Q65" s="6"/>
      <c r="R65" s="6"/>
      <c r="S65" s="6"/>
    </row>
    <row r="66" spans="1:19" ht="24" customHeight="1" x14ac:dyDescent="0.25">
      <c r="A66" s="261"/>
      <c r="B66" s="213"/>
      <c r="C66" s="53"/>
      <c r="D66" s="100"/>
      <c r="E66" s="65"/>
      <c r="F66" s="65"/>
      <c r="G66" s="66"/>
      <c r="H66" s="67"/>
      <c r="I66" s="65"/>
      <c r="J66" s="65"/>
      <c r="K66" s="191"/>
      <c r="L66" s="192"/>
      <c r="M66" s="71"/>
      <c r="N66" s="72"/>
      <c r="O66" s="62"/>
      <c r="P66" s="262"/>
      <c r="Q66" s="6"/>
      <c r="R66" s="6"/>
      <c r="S66" s="6"/>
    </row>
    <row r="67" spans="1:19" ht="24" customHeight="1" x14ac:dyDescent="0.25">
      <c r="A67" s="261"/>
      <c r="B67" s="213"/>
      <c r="C67" s="53"/>
      <c r="D67" s="100" t="s">
        <v>229</v>
      </c>
      <c r="E67" s="65"/>
      <c r="F67" s="65"/>
      <c r="G67" s="66">
        <v>27.8</v>
      </c>
      <c r="H67" s="67"/>
      <c r="I67" s="65"/>
      <c r="J67" s="65">
        <v>4</v>
      </c>
      <c r="K67" s="288" t="s">
        <v>152</v>
      </c>
      <c r="L67" s="289"/>
      <c r="M67" s="71">
        <f>(G67+H67)*J67</f>
        <v>111.2</v>
      </c>
      <c r="N67" s="72" t="s">
        <v>18</v>
      </c>
      <c r="O67" s="62"/>
      <c r="P67" s="262"/>
      <c r="Q67" s="6"/>
      <c r="R67" s="6"/>
      <c r="S67" s="6"/>
    </row>
    <row r="68" spans="1:19" ht="24" customHeight="1" x14ac:dyDescent="0.25">
      <c r="A68" s="261"/>
      <c r="B68" s="213"/>
      <c r="C68" s="53"/>
      <c r="D68" s="100" t="s">
        <v>381</v>
      </c>
      <c r="E68" s="65"/>
      <c r="F68" s="65"/>
      <c r="G68" s="66">
        <f>3.9+1.8+6.55</f>
        <v>12.25</v>
      </c>
      <c r="H68" s="67"/>
      <c r="I68" s="65"/>
      <c r="J68" s="65">
        <v>3</v>
      </c>
      <c r="K68" s="288" t="s">
        <v>152</v>
      </c>
      <c r="L68" s="289"/>
      <c r="M68" s="71">
        <f>(G68+H68)*J68</f>
        <v>36.75</v>
      </c>
      <c r="N68" s="72" t="s">
        <v>18</v>
      </c>
      <c r="O68" s="62"/>
      <c r="P68" s="262"/>
      <c r="Q68" s="6"/>
      <c r="R68" s="6"/>
      <c r="S68" s="6"/>
    </row>
    <row r="69" spans="1:19" ht="24" customHeight="1" x14ac:dyDescent="0.25">
      <c r="A69" s="261"/>
      <c r="B69" s="213"/>
      <c r="C69" s="53"/>
      <c r="D69" s="100" t="s">
        <v>382</v>
      </c>
      <c r="E69" s="65"/>
      <c r="F69" s="65"/>
      <c r="G69" s="66">
        <f>3.15+1+2.75</f>
        <v>6.9</v>
      </c>
      <c r="H69" s="67"/>
      <c r="I69" s="65"/>
      <c r="J69" s="65">
        <v>3</v>
      </c>
      <c r="K69" s="288" t="s">
        <v>152</v>
      </c>
      <c r="L69" s="289"/>
      <c r="M69" s="71">
        <f>(G69+H69)*J69</f>
        <v>20.700000000000003</v>
      </c>
      <c r="N69" s="72" t="s">
        <v>18</v>
      </c>
      <c r="O69" s="62"/>
      <c r="P69" s="262"/>
      <c r="Q69" s="6"/>
      <c r="R69" s="6"/>
      <c r="S69" s="6"/>
    </row>
    <row r="70" spans="1:19" ht="24" customHeight="1" x14ac:dyDescent="0.25">
      <c r="A70" s="261"/>
      <c r="B70" s="213"/>
      <c r="C70" s="53"/>
      <c r="D70" s="100" t="s">
        <v>198</v>
      </c>
      <c r="E70" s="65"/>
      <c r="F70" s="65"/>
      <c r="G70" s="66">
        <f>M61+0.6</f>
        <v>6.1</v>
      </c>
      <c r="H70" s="66">
        <v>0</v>
      </c>
      <c r="I70" s="66">
        <f>I61+0.6</f>
        <v>0.6</v>
      </c>
      <c r="J70" s="65">
        <v>0.1</v>
      </c>
      <c r="K70" s="288"/>
      <c r="L70" s="289"/>
      <c r="M70" s="71">
        <f>(G70+H70+I70)*J70</f>
        <v>0.66999999999999993</v>
      </c>
      <c r="N70" s="72" t="s">
        <v>38</v>
      </c>
      <c r="O70" s="62"/>
      <c r="P70" s="262"/>
      <c r="Q70" s="6"/>
      <c r="R70" s="6"/>
      <c r="S70" s="6"/>
    </row>
    <row r="71" spans="1:19" ht="24" customHeight="1" x14ac:dyDescent="0.25">
      <c r="A71" s="261"/>
      <c r="B71" s="214"/>
      <c r="C71" s="53"/>
      <c r="D71" s="100" t="s">
        <v>140</v>
      </c>
      <c r="E71" s="65"/>
      <c r="F71" s="65"/>
      <c r="G71" s="66">
        <f>M61</f>
        <v>5.5</v>
      </c>
      <c r="H71" s="67">
        <v>0</v>
      </c>
      <c r="I71" s="65">
        <v>0.1</v>
      </c>
      <c r="J71" s="65">
        <v>0.14000000000000001</v>
      </c>
      <c r="K71" s="288" t="s">
        <v>221</v>
      </c>
      <c r="L71" s="289"/>
      <c r="M71" s="71">
        <f>(G71+H71)*(I71*J71)</f>
        <v>7.7000000000000013E-2</v>
      </c>
      <c r="N71" s="72" t="s">
        <v>38</v>
      </c>
      <c r="O71" s="62"/>
      <c r="P71" s="262"/>
      <c r="Q71" s="6"/>
      <c r="R71" s="6"/>
      <c r="S71" s="6"/>
    </row>
    <row r="72" spans="1:19" ht="24" customHeight="1" x14ac:dyDescent="0.25">
      <c r="A72" s="261"/>
      <c r="B72" s="213"/>
      <c r="C72" s="53"/>
      <c r="D72" s="100" t="s">
        <v>394</v>
      </c>
      <c r="E72" s="65"/>
      <c r="F72" s="65"/>
      <c r="G72" s="66">
        <v>1.3</v>
      </c>
      <c r="H72" s="67">
        <v>4</v>
      </c>
      <c r="I72" s="65"/>
      <c r="J72" s="65"/>
      <c r="K72" s="191" t="s">
        <v>242</v>
      </c>
      <c r="L72" s="192"/>
      <c r="M72" s="71">
        <f>G72*H72</f>
        <v>5.2</v>
      </c>
      <c r="N72" s="72" t="s">
        <v>18</v>
      </c>
      <c r="O72" s="62"/>
      <c r="P72" s="262"/>
      <c r="Q72" s="6"/>
      <c r="R72" s="6"/>
      <c r="S72" s="6"/>
    </row>
    <row r="73" spans="1:19" ht="24" customHeight="1" x14ac:dyDescent="0.25">
      <c r="A73" s="261"/>
      <c r="B73" s="213"/>
      <c r="C73" s="53"/>
      <c r="D73" s="100"/>
      <c r="E73" s="65"/>
      <c r="F73" s="65"/>
      <c r="G73" s="66"/>
      <c r="H73" s="67"/>
      <c r="I73" s="65"/>
      <c r="J73" s="65"/>
      <c r="K73" s="191"/>
      <c r="L73" s="192"/>
      <c r="M73" s="71"/>
      <c r="N73" s="72"/>
      <c r="O73" s="62"/>
      <c r="P73" s="262"/>
      <c r="Q73" s="6"/>
      <c r="R73" s="6"/>
      <c r="S73" s="6"/>
    </row>
    <row r="74" spans="1:19" ht="24" customHeight="1" x14ac:dyDescent="0.25">
      <c r="A74" s="261"/>
      <c r="B74" s="213"/>
      <c r="C74" s="53"/>
      <c r="D74" s="100" t="s">
        <v>168</v>
      </c>
      <c r="E74" s="65"/>
      <c r="F74" s="65"/>
      <c r="G74" s="66">
        <v>0.9</v>
      </c>
      <c r="H74" s="67">
        <v>2.1</v>
      </c>
      <c r="I74" s="65"/>
      <c r="J74" s="65">
        <v>1</v>
      </c>
      <c r="K74" s="288" t="s">
        <v>167</v>
      </c>
      <c r="L74" s="289"/>
      <c r="M74" s="71">
        <f>G74*H74*J74</f>
        <v>1.8900000000000001</v>
      </c>
      <c r="N74" s="72" t="s">
        <v>18</v>
      </c>
      <c r="O74" s="62"/>
      <c r="P74" s="262"/>
      <c r="Q74" s="6"/>
      <c r="R74" s="6"/>
      <c r="S74" s="6"/>
    </row>
    <row r="75" spans="1:19" ht="24" customHeight="1" x14ac:dyDescent="0.25">
      <c r="A75" s="261"/>
      <c r="B75" s="213"/>
      <c r="C75" s="53"/>
      <c r="D75" s="100" t="s">
        <v>141</v>
      </c>
      <c r="E75" s="65"/>
      <c r="F75" s="65"/>
      <c r="G75" s="66">
        <v>0.9</v>
      </c>
      <c r="H75" s="67">
        <v>2.1</v>
      </c>
      <c r="I75" s="65"/>
      <c r="J75" s="65">
        <v>4</v>
      </c>
      <c r="K75" s="288" t="s">
        <v>167</v>
      </c>
      <c r="L75" s="289"/>
      <c r="M75" s="71">
        <f>G75*H75*J75</f>
        <v>7.5600000000000005</v>
      </c>
      <c r="N75" s="72" t="s">
        <v>18</v>
      </c>
      <c r="O75" s="62"/>
      <c r="P75" s="262"/>
      <c r="Q75" s="6"/>
      <c r="R75" s="6"/>
      <c r="S75" s="6"/>
    </row>
    <row r="76" spans="1:19" ht="24" customHeight="1" x14ac:dyDescent="0.25">
      <c r="A76" s="261"/>
      <c r="B76" s="213"/>
      <c r="C76" s="53"/>
      <c r="D76" s="100" t="s">
        <v>231</v>
      </c>
      <c r="E76" s="65"/>
      <c r="F76" s="65"/>
      <c r="G76" s="66">
        <v>1.2</v>
      </c>
      <c r="H76" s="67">
        <v>2.1</v>
      </c>
      <c r="I76" s="65"/>
      <c r="J76" s="65">
        <v>1</v>
      </c>
      <c r="K76" s="288" t="s">
        <v>167</v>
      </c>
      <c r="L76" s="289"/>
      <c r="M76" s="71">
        <f>G76*H76*J76</f>
        <v>2.52</v>
      </c>
      <c r="N76" s="72" t="s">
        <v>18</v>
      </c>
      <c r="O76" s="62"/>
      <c r="P76" s="262"/>
      <c r="Q76" s="6"/>
      <c r="R76" s="6"/>
      <c r="S76" s="6"/>
    </row>
    <row r="77" spans="1:19" ht="24" customHeight="1" x14ac:dyDescent="0.25">
      <c r="A77" s="261"/>
      <c r="B77" s="213" t="s">
        <v>209</v>
      </c>
      <c r="C77" s="53"/>
      <c r="D77" s="100" t="s">
        <v>225</v>
      </c>
      <c r="E77" s="65"/>
      <c r="F77" s="65"/>
      <c r="G77" s="66">
        <f>(G75+H75+H75)*J75</f>
        <v>20.399999999999999</v>
      </c>
      <c r="H77" s="65">
        <f>G76+H76+H76</f>
        <v>5.4</v>
      </c>
      <c r="I77" s="65"/>
      <c r="J77" s="65">
        <v>2</v>
      </c>
      <c r="K77" s="288" t="s">
        <v>226</v>
      </c>
      <c r="L77" s="289"/>
      <c r="M77" s="71">
        <f>(G77+H77)*2</f>
        <v>51.599999999999994</v>
      </c>
      <c r="N77" s="72" t="s">
        <v>95</v>
      </c>
      <c r="O77" s="62"/>
      <c r="P77" s="262"/>
      <c r="Q77" s="6"/>
      <c r="R77" s="6"/>
      <c r="S77" s="6"/>
    </row>
    <row r="78" spans="1:19" ht="24" customHeight="1" x14ac:dyDescent="0.25">
      <c r="A78" s="261"/>
      <c r="B78" s="213"/>
      <c r="C78" s="53"/>
      <c r="D78" s="100" t="s">
        <v>224</v>
      </c>
      <c r="E78" s="65"/>
      <c r="F78" s="65"/>
      <c r="G78" s="66">
        <v>1</v>
      </c>
      <c r="H78" s="67">
        <v>1</v>
      </c>
      <c r="I78" s="65"/>
      <c r="J78" s="65">
        <v>1</v>
      </c>
      <c r="K78" s="288"/>
      <c r="L78" s="289"/>
      <c r="M78" s="71">
        <f>G78*H78*J78</f>
        <v>1</v>
      </c>
      <c r="N78" s="72" t="s">
        <v>18</v>
      </c>
      <c r="O78" s="62"/>
      <c r="P78" s="262"/>
      <c r="Q78" s="6"/>
      <c r="R78" s="6"/>
      <c r="S78" s="6"/>
    </row>
    <row r="79" spans="1:19" ht="24" customHeight="1" x14ac:dyDescent="0.25">
      <c r="A79" s="261"/>
      <c r="B79" s="213"/>
      <c r="C79" s="53"/>
      <c r="D79" s="100" t="s">
        <v>223</v>
      </c>
      <c r="E79" s="65"/>
      <c r="F79" s="65"/>
      <c r="G79" s="66">
        <v>1.5</v>
      </c>
      <c r="H79" s="67">
        <v>0.6</v>
      </c>
      <c r="I79" s="65"/>
      <c r="J79" s="65">
        <v>3</v>
      </c>
      <c r="K79" s="288"/>
      <c r="L79" s="289"/>
      <c r="M79" s="71">
        <f>G79*H79*J79</f>
        <v>2.6999999999999997</v>
      </c>
      <c r="N79" s="72" t="s">
        <v>18</v>
      </c>
      <c r="O79" s="62"/>
      <c r="P79" s="263"/>
      <c r="Q79" s="6"/>
      <c r="R79" s="6"/>
      <c r="S79" s="6"/>
    </row>
    <row r="80" spans="1:19" ht="24" customHeight="1" x14ac:dyDescent="0.25">
      <c r="A80" s="261"/>
      <c r="B80" s="213"/>
      <c r="C80" s="53"/>
      <c r="D80" s="100" t="s">
        <v>125</v>
      </c>
      <c r="E80" s="65"/>
      <c r="F80" s="65"/>
      <c r="G80" s="66">
        <f>G79*J79+G78*1</f>
        <v>5.5</v>
      </c>
      <c r="H80" s="67"/>
      <c r="I80" s="65"/>
      <c r="J80" s="65"/>
      <c r="K80" s="288" t="s">
        <v>246</v>
      </c>
      <c r="L80" s="289"/>
      <c r="M80" s="71">
        <f>G78*J78+G79*J79</f>
        <v>5.5</v>
      </c>
      <c r="N80" s="72" t="s">
        <v>95</v>
      </c>
      <c r="O80" s="62"/>
      <c r="P80" s="262"/>
      <c r="Q80" s="6"/>
      <c r="R80" s="6"/>
      <c r="S80" s="6"/>
    </row>
    <row r="81" spans="1:19" ht="24" customHeight="1" x14ac:dyDescent="0.25">
      <c r="A81" s="261"/>
      <c r="B81" s="213"/>
      <c r="C81" s="53"/>
      <c r="D81" s="100" t="s">
        <v>233</v>
      </c>
      <c r="E81" s="65"/>
      <c r="F81" s="65"/>
      <c r="G81" s="66">
        <f>6.89+0.63</f>
        <v>7.52</v>
      </c>
      <c r="H81" s="67">
        <f>6.24+0.5</f>
        <v>6.74</v>
      </c>
      <c r="I81" s="65"/>
      <c r="J81" s="65">
        <v>2</v>
      </c>
      <c r="K81" s="288" t="s">
        <v>158</v>
      </c>
      <c r="L81" s="289"/>
      <c r="M81" s="71">
        <f>(G81+H81)*J81</f>
        <v>28.52</v>
      </c>
      <c r="N81" s="72" t="s">
        <v>18</v>
      </c>
      <c r="O81" s="62"/>
      <c r="P81" s="262"/>
      <c r="Q81" s="6"/>
      <c r="R81" s="6"/>
      <c r="S81" s="6"/>
    </row>
    <row r="82" spans="1:19" ht="24" customHeight="1" x14ac:dyDescent="0.25">
      <c r="A82" s="261"/>
      <c r="B82" s="214"/>
      <c r="C82" s="53"/>
      <c r="D82" s="100" t="s">
        <v>234</v>
      </c>
      <c r="E82" s="65"/>
      <c r="F82" s="65"/>
      <c r="G82" s="66">
        <v>0.8</v>
      </c>
      <c r="H82" s="67">
        <v>0.8</v>
      </c>
      <c r="I82" s="65">
        <v>0.6</v>
      </c>
      <c r="J82" s="65">
        <v>2</v>
      </c>
      <c r="K82" s="288" t="s">
        <v>235</v>
      </c>
      <c r="L82" s="289"/>
      <c r="M82" s="71">
        <f>(G82+H82+I82)*J82</f>
        <v>4.4000000000000004</v>
      </c>
      <c r="N82" s="72" t="s">
        <v>18</v>
      </c>
      <c r="O82" s="62"/>
      <c r="P82" s="262"/>
      <c r="Q82" s="6"/>
      <c r="R82" s="6"/>
      <c r="S82" s="6"/>
    </row>
    <row r="83" spans="1:19" ht="24" customHeight="1" x14ac:dyDescent="0.25">
      <c r="A83" s="261"/>
      <c r="B83" s="213"/>
      <c r="C83" s="53"/>
      <c r="D83" s="100"/>
      <c r="E83" s="65"/>
      <c r="F83" s="65"/>
      <c r="G83" s="66"/>
      <c r="H83" s="67"/>
      <c r="I83" s="65"/>
      <c r="J83" s="65"/>
      <c r="K83" s="191"/>
      <c r="L83" s="192"/>
      <c r="M83" s="71"/>
      <c r="N83" s="72"/>
      <c r="O83" s="62"/>
      <c r="P83" s="262"/>
      <c r="Q83" s="6"/>
      <c r="R83" s="6"/>
      <c r="S83" s="6"/>
    </row>
    <row r="84" spans="1:19" ht="24" customHeight="1" x14ac:dyDescent="0.25">
      <c r="A84" s="261"/>
      <c r="B84" s="213"/>
      <c r="C84" s="53"/>
      <c r="D84" s="100" t="s">
        <v>126</v>
      </c>
      <c r="E84" s="65"/>
      <c r="F84" s="65"/>
      <c r="G84" s="66">
        <v>65.849999999999994</v>
      </c>
      <c r="H84" s="67"/>
      <c r="I84" s="65"/>
      <c r="J84" s="65"/>
      <c r="K84" s="288" t="s">
        <v>246</v>
      </c>
      <c r="L84" s="289"/>
      <c r="M84" s="71">
        <f>G84</f>
        <v>65.849999999999994</v>
      </c>
      <c r="N84" s="72" t="s">
        <v>18</v>
      </c>
      <c r="O84" s="62"/>
      <c r="P84" s="262"/>
      <c r="Q84" s="6"/>
      <c r="R84" s="6"/>
      <c r="S84" s="6"/>
    </row>
    <row r="85" spans="1:19" ht="24" customHeight="1" x14ac:dyDescent="0.25">
      <c r="A85" s="261"/>
      <c r="B85" s="213"/>
      <c r="C85" s="53"/>
      <c r="D85" s="100" t="s">
        <v>127</v>
      </c>
      <c r="E85" s="65"/>
      <c r="F85" s="65"/>
      <c r="G85" s="66">
        <v>71.040000000000006</v>
      </c>
      <c r="H85" s="67"/>
      <c r="I85" s="65"/>
      <c r="J85" s="65"/>
      <c r="K85" s="288" t="s">
        <v>247</v>
      </c>
      <c r="L85" s="289"/>
      <c r="M85" s="71">
        <f t="shared" ref="M85:M90" si="1">G85+I85</f>
        <v>71.040000000000006</v>
      </c>
      <c r="N85" s="72" t="s">
        <v>18</v>
      </c>
      <c r="O85" s="62"/>
      <c r="P85" s="262"/>
      <c r="Q85" s="6"/>
      <c r="R85" s="6"/>
      <c r="S85" s="6"/>
    </row>
    <row r="86" spans="1:19" ht="24" customHeight="1" x14ac:dyDescent="0.25">
      <c r="A86" s="261"/>
      <c r="B86" s="213"/>
      <c r="C86" s="53"/>
      <c r="D86" s="100" t="s">
        <v>128</v>
      </c>
      <c r="E86" s="65"/>
      <c r="F86" s="65"/>
      <c r="G86" s="66">
        <v>8</v>
      </c>
      <c r="H86" s="67"/>
      <c r="I86" s="65"/>
      <c r="J86" s="65"/>
      <c r="K86" s="288" t="s">
        <v>246</v>
      </c>
      <c r="L86" s="289"/>
      <c r="M86" s="71">
        <f t="shared" si="1"/>
        <v>8</v>
      </c>
      <c r="N86" s="72" t="s">
        <v>95</v>
      </c>
      <c r="O86" s="62"/>
      <c r="P86" s="262"/>
      <c r="Q86" s="6"/>
      <c r="R86" s="6"/>
      <c r="S86" s="6"/>
    </row>
    <row r="87" spans="1:19" ht="24" customHeight="1" x14ac:dyDescent="0.25">
      <c r="A87" s="261"/>
      <c r="B87" s="213"/>
      <c r="C87" s="53"/>
      <c r="D87" s="100" t="s">
        <v>210</v>
      </c>
      <c r="E87" s="65"/>
      <c r="F87" s="65"/>
      <c r="G87" s="66">
        <f>8.25+8.25+10+1.45+1.23+0.5</f>
        <v>29.68</v>
      </c>
      <c r="H87" s="67"/>
      <c r="I87" s="65"/>
      <c r="J87" s="65"/>
      <c r="K87" s="288" t="s">
        <v>247</v>
      </c>
      <c r="L87" s="289"/>
      <c r="M87" s="71">
        <f t="shared" si="1"/>
        <v>29.68</v>
      </c>
      <c r="N87" s="72" t="s">
        <v>95</v>
      </c>
      <c r="O87" s="62"/>
      <c r="P87" s="262"/>
      <c r="Q87" s="6"/>
      <c r="R87" s="6"/>
      <c r="S87" s="6"/>
    </row>
    <row r="88" spans="1:19" ht="24" customHeight="1" x14ac:dyDescent="0.25">
      <c r="A88" s="261"/>
      <c r="B88" s="213" t="s">
        <v>127</v>
      </c>
      <c r="C88" s="53"/>
      <c r="D88" s="100" t="s">
        <v>211</v>
      </c>
      <c r="E88" s="65"/>
      <c r="F88" s="65"/>
      <c r="G88" s="66">
        <f>9.6+9.6+1.06</f>
        <v>20.259999999999998</v>
      </c>
      <c r="H88" s="67"/>
      <c r="I88" s="65">
        <f>4.2+1.5+4.2+1.5</f>
        <v>11.4</v>
      </c>
      <c r="J88" s="65"/>
      <c r="K88" s="288" t="s">
        <v>154</v>
      </c>
      <c r="L88" s="289"/>
      <c r="M88" s="71">
        <f t="shared" si="1"/>
        <v>31.659999999999997</v>
      </c>
      <c r="N88" s="72" t="s">
        <v>95</v>
      </c>
      <c r="O88" s="62"/>
      <c r="P88" s="262"/>
      <c r="Q88" s="6"/>
      <c r="R88" s="6"/>
      <c r="S88" s="6"/>
    </row>
    <row r="89" spans="1:19" ht="24" customHeight="1" x14ac:dyDescent="0.25">
      <c r="A89" s="261"/>
      <c r="B89" s="213"/>
      <c r="C89" s="53"/>
      <c r="D89" s="100" t="s">
        <v>212</v>
      </c>
      <c r="E89" s="65"/>
      <c r="F89" s="65"/>
      <c r="G89" s="66">
        <v>7.9</v>
      </c>
      <c r="H89" s="67"/>
      <c r="I89" s="65">
        <f>2.95+1.2</f>
        <v>4.1500000000000004</v>
      </c>
      <c r="J89" s="65"/>
      <c r="K89" s="288" t="s">
        <v>154</v>
      </c>
      <c r="L89" s="289"/>
      <c r="M89" s="71">
        <f t="shared" si="1"/>
        <v>12.05</v>
      </c>
      <c r="N89" s="72" t="s">
        <v>95</v>
      </c>
      <c r="O89" s="62"/>
      <c r="P89" s="262"/>
      <c r="Q89" s="6"/>
      <c r="R89" s="6"/>
      <c r="S89" s="6"/>
    </row>
    <row r="90" spans="1:19" ht="24" customHeight="1" x14ac:dyDescent="0.25">
      <c r="A90" s="261"/>
      <c r="B90" s="213"/>
      <c r="C90" s="53"/>
      <c r="D90" s="100" t="s">
        <v>217</v>
      </c>
      <c r="E90" s="65"/>
      <c r="F90" s="65"/>
      <c r="G90" s="66">
        <v>4.5</v>
      </c>
      <c r="H90" s="67"/>
      <c r="I90" s="65">
        <v>2</v>
      </c>
      <c r="J90" s="65"/>
      <c r="K90" s="288" t="s">
        <v>154</v>
      </c>
      <c r="L90" s="289"/>
      <c r="M90" s="71">
        <f t="shared" si="1"/>
        <v>6.5</v>
      </c>
      <c r="N90" s="72" t="s">
        <v>95</v>
      </c>
      <c r="O90" s="62"/>
      <c r="P90" s="262"/>
      <c r="Q90" s="6"/>
      <c r="R90" s="6"/>
      <c r="S90" s="6"/>
    </row>
    <row r="91" spans="1:19" ht="24" customHeight="1" x14ac:dyDescent="0.25">
      <c r="A91" s="261"/>
      <c r="B91" s="213"/>
      <c r="C91" s="53"/>
      <c r="D91" s="100" t="s">
        <v>365</v>
      </c>
      <c r="E91" s="65"/>
      <c r="F91" s="65"/>
      <c r="G91" s="66">
        <v>8.6</v>
      </c>
      <c r="H91" s="67"/>
      <c r="I91" s="65"/>
      <c r="J91" s="65"/>
      <c r="K91" s="288" t="s">
        <v>154</v>
      </c>
      <c r="L91" s="289"/>
      <c r="M91" s="71">
        <f t="shared" ref="M91" si="2">G91+I91</f>
        <v>8.6</v>
      </c>
      <c r="N91" s="72" t="s">
        <v>95</v>
      </c>
      <c r="O91" s="62"/>
      <c r="P91" s="263"/>
      <c r="Q91" s="6"/>
      <c r="R91" s="6"/>
      <c r="S91" s="6"/>
    </row>
    <row r="92" spans="1:19" ht="24" customHeight="1" x14ac:dyDescent="0.25">
      <c r="A92" s="261"/>
      <c r="B92" s="213"/>
      <c r="C92" s="53"/>
      <c r="D92" s="100"/>
      <c r="E92" s="65"/>
      <c r="F92" s="65"/>
      <c r="G92" s="66"/>
      <c r="H92" s="67"/>
      <c r="I92" s="65"/>
      <c r="J92" s="65"/>
      <c r="K92" s="191"/>
      <c r="L92" s="192"/>
      <c r="M92" s="71"/>
      <c r="N92" s="72"/>
      <c r="O92" s="62"/>
      <c r="P92" s="263"/>
      <c r="Q92" s="6"/>
      <c r="R92" s="6"/>
      <c r="S92" s="6"/>
    </row>
    <row r="93" spans="1:19" ht="24" customHeight="1" x14ac:dyDescent="0.25">
      <c r="A93" s="261"/>
      <c r="B93" s="213"/>
      <c r="C93" s="53"/>
      <c r="D93" s="100" t="s">
        <v>340</v>
      </c>
      <c r="E93" s="65"/>
      <c r="F93" s="65"/>
      <c r="G93" s="66">
        <v>26.62</v>
      </c>
      <c r="H93" s="67">
        <v>0</v>
      </c>
      <c r="I93" s="65"/>
      <c r="J93" s="65">
        <v>4</v>
      </c>
      <c r="K93" s="288" t="s">
        <v>158</v>
      </c>
      <c r="L93" s="289"/>
      <c r="M93" s="71">
        <f>(G93+H93)*J93</f>
        <v>106.48</v>
      </c>
      <c r="N93" s="72" t="s">
        <v>18</v>
      </c>
      <c r="O93" s="62"/>
      <c r="P93" s="262"/>
      <c r="Q93" s="6"/>
      <c r="R93" s="6"/>
      <c r="S93" s="6"/>
    </row>
    <row r="94" spans="1:19" ht="24" customHeight="1" x14ac:dyDescent="0.25">
      <c r="A94" s="261"/>
      <c r="B94" s="213"/>
      <c r="C94" s="53"/>
      <c r="D94" s="100" t="s">
        <v>134</v>
      </c>
      <c r="E94" s="65"/>
      <c r="F94" s="65"/>
      <c r="G94" s="66">
        <v>34.57</v>
      </c>
      <c r="H94" s="67">
        <v>17.489999999999998</v>
      </c>
      <c r="I94" s="65"/>
      <c r="J94" s="65">
        <v>4</v>
      </c>
      <c r="K94" s="288" t="s">
        <v>158</v>
      </c>
      <c r="L94" s="289"/>
      <c r="M94" s="71">
        <f>(G94+H94)*J94</f>
        <v>208.24</v>
      </c>
      <c r="N94" s="72" t="s">
        <v>18</v>
      </c>
      <c r="O94" s="62"/>
      <c r="P94" s="262"/>
      <c r="Q94" s="6"/>
      <c r="R94" s="6"/>
      <c r="S94" s="6"/>
    </row>
    <row r="95" spans="1:19" ht="24" customHeight="1" x14ac:dyDescent="0.25">
      <c r="A95" s="261"/>
      <c r="B95" s="213"/>
      <c r="C95" s="53"/>
      <c r="D95" s="100" t="s">
        <v>218</v>
      </c>
      <c r="E95" s="65"/>
      <c r="F95" s="65"/>
      <c r="G95" s="66">
        <f>3.4+1+4.5+3.05+0.9+3.8+1.9+0.5+2.65+3.75+3.25+2.75+2.7+2.7+1.8</f>
        <v>38.65</v>
      </c>
      <c r="H95" s="67">
        <v>0</v>
      </c>
      <c r="I95" s="65">
        <v>1</v>
      </c>
      <c r="J95" s="65">
        <v>3</v>
      </c>
      <c r="K95" s="288" t="s">
        <v>158</v>
      </c>
      <c r="L95" s="289"/>
      <c r="M95" s="71">
        <f>(G95+H95)*J95*I95</f>
        <v>115.94999999999999</v>
      </c>
      <c r="N95" s="72" t="s">
        <v>18</v>
      </c>
      <c r="O95" s="62"/>
      <c r="P95" s="262"/>
      <c r="Q95" s="6"/>
      <c r="R95" s="6"/>
      <c r="S95" s="6"/>
    </row>
    <row r="96" spans="1:19" ht="24" customHeight="1" x14ac:dyDescent="0.25">
      <c r="A96" s="261"/>
      <c r="B96" s="213" t="s">
        <v>208</v>
      </c>
      <c r="C96" s="53"/>
      <c r="D96" s="100" t="s">
        <v>135</v>
      </c>
      <c r="E96" s="65"/>
      <c r="F96" s="65"/>
      <c r="G96" s="66">
        <f>36.1-9.1</f>
        <v>27</v>
      </c>
      <c r="H96" s="67">
        <f>19.09-4.6-1.2</f>
        <v>13.290000000000001</v>
      </c>
      <c r="I96" s="65"/>
      <c r="J96" s="65">
        <f>(3.5+4.5)/2</f>
        <v>4</v>
      </c>
      <c r="K96" s="288" t="s">
        <v>158</v>
      </c>
      <c r="L96" s="289"/>
      <c r="M96" s="71">
        <f>(G96+H96)*J96</f>
        <v>161.16</v>
      </c>
      <c r="N96" s="72" t="s">
        <v>18</v>
      </c>
      <c r="O96" s="62"/>
      <c r="P96" s="262"/>
      <c r="Q96" s="6"/>
      <c r="R96" s="6"/>
      <c r="S96" s="6"/>
    </row>
    <row r="97" spans="1:22" ht="24" customHeight="1" x14ac:dyDescent="0.25">
      <c r="A97" s="261"/>
      <c r="B97" s="213"/>
      <c r="C97" s="53"/>
      <c r="D97" s="100" t="s">
        <v>309</v>
      </c>
      <c r="E97" s="65"/>
      <c r="F97" s="65"/>
      <c r="G97" s="66">
        <v>0.3</v>
      </c>
      <c r="H97" s="67">
        <v>0.6</v>
      </c>
      <c r="I97" s="65">
        <v>4</v>
      </c>
      <c r="J97" s="65"/>
      <c r="K97" s="288" t="s">
        <v>295</v>
      </c>
      <c r="L97" s="289"/>
      <c r="M97" s="71">
        <f>(G97+H97)*2*I97+G97*H97</f>
        <v>7.379999999999999</v>
      </c>
      <c r="N97" s="72" t="s">
        <v>18</v>
      </c>
      <c r="O97" s="62"/>
      <c r="P97" s="262"/>
      <c r="Q97" s="6"/>
      <c r="R97" s="6"/>
      <c r="S97" s="6"/>
    </row>
    <row r="98" spans="1:22" ht="24" customHeight="1" x14ac:dyDescent="0.25">
      <c r="A98" s="261"/>
      <c r="B98" s="213"/>
      <c r="C98" s="53"/>
      <c r="D98" s="100" t="s">
        <v>165</v>
      </c>
      <c r="E98" s="65"/>
      <c r="F98" s="65"/>
      <c r="G98" s="66">
        <v>1.1000000000000001</v>
      </c>
      <c r="H98" s="67"/>
      <c r="I98" s="65"/>
      <c r="J98" s="65">
        <v>4</v>
      </c>
      <c r="K98" s="288" t="s">
        <v>166</v>
      </c>
      <c r="L98" s="289"/>
      <c r="M98" s="71">
        <f>G98*J98</f>
        <v>4.4000000000000004</v>
      </c>
      <c r="N98" s="72" t="s">
        <v>18</v>
      </c>
      <c r="O98" s="62"/>
      <c r="P98" s="262"/>
      <c r="Q98" s="6"/>
      <c r="R98" s="6"/>
      <c r="S98" s="6"/>
    </row>
    <row r="99" spans="1:22" ht="24" customHeight="1" x14ac:dyDescent="0.25">
      <c r="A99" s="261"/>
      <c r="B99" s="213"/>
      <c r="C99" s="53"/>
      <c r="D99" s="100" t="s">
        <v>136</v>
      </c>
      <c r="E99" s="65"/>
      <c r="F99" s="65"/>
      <c r="G99" s="66">
        <v>3.75</v>
      </c>
      <c r="H99" s="67">
        <v>0</v>
      </c>
      <c r="I99" s="65">
        <v>0</v>
      </c>
      <c r="J99" s="65"/>
      <c r="K99" s="288" t="s">
        <v>169</v>
      </c>
      <c r="L99" s="289"/>
      <c r="M99" s="71">
        <f>G99+H99+I99</f>
        <v>3.75</v>
      </c>
      <c r="N99" s="72" t="s">
        <v>18</v>
      </c>
      <c r="O99" s="62"/>
      <c r="P99" s="262"/>
      <c r="Q99" s="6"/>
      <c r="R99" s="6"/>
      <c r="S99" s="6"/>
    </row>
    <row r="100" spans="1:22" ht="24" customHeight="1" x14ac:dyDescent="0.25">
      <c r="A100" s="261"/>
      <c r="B100" s="213"/>
      <c r="C100" s="53"/>
      <c r="D100" s="100" t="s">
        <v>155</v>
      </c>
      <c r="E100" s="65"/>
      <c r="F100" s="65"/>
      <c r="G100" s="66">
        <v>0.9</v>
      </c>
      <c r="H100" s="67">
        <v>2.1</v>
      </c>
      <c r="I100" s="65">
        <v>2</v>
      </c>
      <c r="J100" s="65">
        <v>5</v>
      </c>
      <c r="K100" s="288" t="s">
        <v>215</v>
      </c>
      <c r="L100" s="289"/>
      <c r="M100" s="71">
        <f>G100*H100*I100*J100</f>
        <v>18.900000000000002</v>
      </c>
      <c r="N100" s="72" t="s">
        <v>18</v>
      </c>
      <c r="O100" s="62"/>
      <c r="P100" s="262"/>
      <c r="Q100" s="6"/>
      <c r="R100" s="6"/>
      <c r="S100" s="6"/>
    </row>
    <row r="101" spans="1:22" ht="24" customHeight="1" x14ac:dyDescent="0.25">
      <c r="A101" s="261"/>
      <c r="B101" s="214"/>
      <c r="C101" s="53"/>
      <c r="D101" s="100"/>
      <c r="E101" s="65"/>
      <c r="F101" s="65"/>
      <c r="G101" s="66"/>
      <c r="H101" s="67"/>
      <c r="I101" s="65"/>
      <c r="J101" s="65"/>
      <c r="K101" s="68"/>
      <c r="L101" s="69"/>
      <c r="M101" s="71"/>
      <c r="N101" s="72"/>
      <c r="O101" s="62"/>
      <c r="P101" s="262"/>
      <c r="Q101" s="6"/>
      <c r="R101" s="6"/>
      <c r="S101" s="6"/>
    </row>
    <row r="102" spans="1:22" ht="24" customHeight="1" x14ac:dyDescent="0.25">
      <c r="A102" s="261"/>
      <c r="B102" s="212"/>
      <c r="C102" s="53"/>
      <c r="D102" s="53"/>
      <c r="E102" s="59"/>
      <c r="F102" s="59"/>
      <c r="G102" s="58"/>
      <c r="H102" s="60"/>
      <c r="I102" s="59"/>
      <c r="J102" s="59"/>
      <c r="K102" s="59"/>
      <c r="L102" s="61"/>
      <c r="M102" s="61"/>
      <c r="N102" s="202"/>
      <c r="O102" s="62"/>
      <c r="P102" s="262"/>
      <c r="Q102" s="6"/>
      <c r="R102" s="6"/>
      <c r="S102" s="6"/>
    </row>
    <row r="103" spans="1:22" ht="24" customHeight="1" x14ac:dyDescent="0.25">
      <c r="A103" s="261"/>
      <c r="B103" s="212"/>
      <c r="C103" s="53"/>
      <c r="D103" s="100" t="s">
        <v>305</v>
      </c>
      <c r="E103" s="65"/>
      <c r="F103" s="65"/>
      <c r="G103" s="66">
        <v>0.92</v>
      </c>
      <c r="H103" s="67"/>
      <c r="I103" s="65"/>
      <c r="J103" s="65">
        <v>3</v>
      </c>
      <c r="K103" s="288" t="s">
        <v>197</v>
      </c>
      <c r="L103" s="289"/>
      <c r="M103" s="71">
        <f>G103*J103</f>
        <v>2.7600000000000002</v>
      </c>
      <c r="N103" s="72" t="s">
        <v>95</v>
      </c>
      <c r="O103" s="62"/>
      <c r="P103" s="262"/>
      <c r="Q103" s="6"/>
      <c r="R103" s="6"/>
      <c r="S103" s="6"/>
    </row>
    <row r="104" spans="1:22" ht="24" customHeight="1" x14ac:dyDescent="0.25">
      <c r="A104" s="261"/>
      <c r="B104" s="212"/>
      <c r="C104" s="53"/>
      <c r="D104" s="100" t="s">
        <v>306</v>
      </c>
      <c r="E104" s="65"/>
      <c r="F104" s="65"/>
      <c r="G104" s="66">
        <v>0.7</v>
      </c>
      <c r="H104" s="67">
        <v>0.7</v>
      </c>
      <c r="I104" s="65"/>
      <c r="J104" s="65">
        <v>2</v>
      </c>
      <c r="K104" s="288" t="s">
        <v>376</v>
      </c>
      <c r="L104" s="289"/>
      <c r="M104" s="71">
        <f>(G104+H104)*J104</f>
        <v>2.8</v>
      </c>
      <c r="N104" s="72" t="s">
        <v>95</v>
      </c>
      <c r="O104" s="62"/>
      <c r="P104" s="262"/>
      <c r="Q104" s="6"/>
      <c r="R104" s="6"/>
      <c r="S104" s="6"/>
    </row>
    <row r="105" spans="1:22" ht="24" customHeight="1" x14ac:dyDescent="0.25">
      <c r="A105" s="261"/>
      <c r="B105" s="212"/>
      <c r="C105" s="53"/>
      <c r="D105" s="100" t="s">
        <v>307</v>
      </c>
      <c r="E105" s="65"/>
      <c r="F105" s="65"/>
      <c r="G105" s="66">
        <v>0.7</v>
      </c>
      <c r="H105" s="67">
        <v>0.25</v>
      </c>
      <c r="I105" s="65"/>
      <c r="J105" s="65">
        <v>2</v>
      </c>
      <c r="K105" s="288" t="s">
        <v>167</v>
      </c>
      <c r="L105" s="289"/>
      <c r="M105" s="71">
        <f>G105*H105*J105</f>
        <v>0.35</v>
      </c>
      <c r="N105" s="72" t="s">
        <v>95</v>
      </c>
      <c r="O105" s="62"/>
      <c r="P105" s="262"/>
      <c r="Q105" s="6"/>
      <c r="R105" s="6"/>
      <c r="S105" s="6"/>
    </row>
    <row r="106" spans="1:22" ht="24" customHeight="1" x14ac:dyDescent="0.25">
      <c r="A106" s="261"/>
      <c r="B106" s="212"/>
      <c r="C106" s="53"/>
      <c r="D106" s="100" t="s">
        <v>308</v>
      </c>
      <c r="E106" s="65"/>
      <c r="F106" s="65"/>
      <c r="G106" s="66">
        <v>1.5</v>
      </c>
      <c r="H106" s="67">
        <v>0.25</v>
      </c>
      <c r="I106" s="65"/>
      <c r="J106" s="65">
        <v>1</v>
      </c>
      <c r="K106" s="288" t="s">
        <v>167</v>
      </c>
      <c r="L106" s="289"/>
      <c r="M106" s="71">
        <f>G106*H106*J106</f>
        <v>0.375</v>
      </c>
      <c r="N106" s="72" t="s">
        <v>95</v>
      </c>
      <c r="O106" s="62"/>
      <c r="P106" s="262"/>
      <c r="Q106" s="6"/>
      <c r="R106" s="6"/>
      <c r="S106" s="6"/>
    </row>
    <row r="107" spans="1:22" ht="24" customHeight="1" x14ac:dyDescent="0.25">
      <c r="A107" s="261"/>
      <c r="B107" s="212"/>
      <c r="C107" s="53"/>
      <c r="D107" s="53"/>
      <c r="E107" s="54"/>
      <c r="F107" s="54"/>
      <c r="G107" s="55"/>
      <c r="H107" s="55"/>
      <c r="I107" s="56"/>
      <c r="J107" s="56"/>
      <c r="K107" s="56"/>
      <c r="L107" s="57"/>
      <c r="M107" s="57"/>
      <c r="N107" s="57"/>
      <c r="O107" s="57"/>
      <c r="P107" s="262"/>
      <c r="Q107" s="6"/>
      <c r="R107" s="6"/>
      <c r="S107" s="6"/>
    </row>
    <row r="108" spans="1:22" ht="8.25" customHeight="1" thickBot="1" x14ac:dyDescent="0.3">
      <c r="A108" s="261"/>
      <c r="B108" s="212"/>
      <c r="C108" s="53"/>
      <c r="D108" s="53"/>
      <c r="E108" s="54"/>
      <c r="F108" s="54"/>
      <c r="G108" s="55"/>
      <c r="H108" s="55"/>
      <c r="I108" s="56"/>
      <c r="J108" s="56"/>
      <c r="K108" s="56"/>
      <c r="L108" s="57"/>
      <c r="M108" s="57"/>
      <c r="N108" s="57"/>
      <c r="O108" s="57"/>
      <c r="P108" s="262"/>
      <c r="Q108" s="6"/>
      <c r="R108" s="6"/>
      <c r="S108" s="6"/>
    </row>
    <row r="109" spans="1:22" s="7" customFormat="1" ht="15" customHeight="1" thickTop="1" x14ac:dyDescent="0.25">
      <c r="A109" s="306" t="s">
        <v>1</v>
      </c>
      <c r="B109" s="309" t="s">
        <v>2</v>
      </c>
      <c r="C109" s="309" t="s">
        <v>3</v>
      </c>
      <c r="D109" s="309" t="s">
        <v>4</v>
      </c>
      <c r="E109" s="312" t="s">
        <v>5</v>
      </c>
      <c r="F109" s="320" t="s">
        <v>6</v>
      </c>
      <c r="G109" s="323" t="s">
        <v>7</v>
      </c>
      <c r="H109" s="324"/>
      <c r="I109" s="325"/>
      <c r="J109" s="326" t="s">
        <v>8</v>
      </c>
      <c r="K109" s="327"/>
      <c r="L109" s="327"/>
      <c r="M109" s="327"/>
      <c r="N109" s="327"/>
      <c r="O109" s="327"/>
      <c r="P109" s="328"/>
      <c r="Q109" s="5"/>
      <c r="R109" s="8"/>
    </row>
    <row r="110" spans="1:22" s="7" customFormat="1" ht="15" customHeight="1" x14ac:dyDescent="0.25">
      <c r="A110" s="307"/>
      <c r="B110" s="310"/>
      <c r="C110" s="310"/>
      <c r="D110" s="310"/>
      <c r="E110" s="313"/>
      <c r="F110" s="321"/>
      <c r="G110" s="329" t="s">
        <v>9</v>
      </c>
      <c r="H110" s="331" t="s">
        <v>10</v>
      </c>
      <c r="I110" s="333" t="s">
        <v>11</v>
      </c>
      <c r="J110" s="335" t="s">
        <v>12</v>
      </c>
      <c r="K110" s="336"/>
      <c r="L110" s="279"/>
      <c r="M110" s="280"/>
      <c r="N110" s="280" t="s">
        <v>13</v>
      </c>
      <c r="O110" s="281"/>
      <c r="P110" s="337" t="s">
        <v>14</v>
      </c>
      <c r="Q110" s="5"/>
      <c r="R110" s="8"/>
    </row>
    <row r="111" spans="1:22" s="7" customFormat="1" ht="15" customHeight="1" thickBot="1" x14ac:dyDescent="0.3">
      <c r="A111" s="308"/>
      <c r="B111" s="311"/>
      <c r="C111" s="311"/>
      <c r="D111" s="311"/>
      <c r="E111" s="314"/>
      <c r="F111" s="322"/>
      <c r="G111" s="330"/>
      <c r="H111" s="332"/>
      <c r="I111" s="334"/>
      <c r="J111" s="282" t="s">
        <v>15</v>
      </c>
      <c r="K111" s="283" t="s">
        <v>10</v>
      </c>
      <c r="L111" s="284" t="s">
        <v>16</v>
      </c>
      <c r="M111" s="285" t="s">
        <v>15</v>
      </c>
      <c r="N111" s="285" t="s">
        <v>10</v>
      </c>
      <c r="O111" s="286" t="s">
        <v>17</v>
      </c>
      <c r="P111" s="338"/>
      <c r="Q111" s="9"/>
      <c r="V111" s="7">
        <v>25000</v>
      </c>
    </row>
    <row r="112" spans="1:22" s="7" customFormat="1" ht="6" customHeight="1" x14ac:dyDescent="0.25">
      <c r="A112" s="135"/>
      <c r="B112" s="10"/>
      <c r="C112" s="10"/>
      <c r="D112" s="10"/>
      <c r="E112" s="11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36"/>
      <c r="Q112" s="9"/>
    </row>
    <row r="113" spans="1:24" s="7" customFormat="1" ht="19.5" customHeight="1" x14ac:dyDescent="0.25">
      <c r="A113" s="137">
        <v>1</v>
      </c>
      <c r="B113" s="36"/>
      <c r="C113" s="340" t="s">
        <v>25</v>
      </c>
      <c r="D113" s="340"/>
      <c r="E113" s="340"/>
      <c r="F113" s="340"/>
      <c r="G113" s="340"/>
      <c r="H113" s="340"/>
      <c r="I113" s="340" t="s">
        <v>25</v>
      </c>
      <c r="J113" s="340"/>
      <c r="K113" s="37"/>
      <c r="L113" s="38"/>
      <c r="M113" s="52"/>
      <c r="N113" s="347"/>
      <c r="O113" s="347"/>
      <c r="P113" s="138"/>
      <c r="Q113" s="9"/>
      <c r="X113" s="9"/>
    </row>
    <row r="114" spans="1:24" s="7" customFormat="1" ht="5.0999999999999996" customHeight="1" x14ac:dyDescent="0.25">
      <c r="A114" s="135"/>
      <c r="B114" s="10"/>
      <c r="C114" s="10"/>
      <c r="D114" s="10"/>
      <c r="E114" s="11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36"/>
      <c r="Q114" s="9"/>
    </row>
    <row r="115" spans="1:24" s="74" customFormat="1" ht="24" customHeight="1" x14ac:dyDescent="0.25">
      <c r="A115" s="245" t="s">
        <v>264</v>
      </c>
      <c r="B115" s="122" t="s">
        <v>26</v>
      </c>
      <c r="C115" s="198" t="s">
        <v>251</v>
      </c>
      <c r="D115" s="123" t="s">
        <v>27</v>
      </c>
      <c r="E115" s="122" t="s">
        <v>18</v>
      </c>
      <c r="F115" s="124">
        <f>1*2</f>
        <v>2</v>
      </c>
      <c r="G115" s="124">
        <v>832.38</v>
      </c>
      <c r="H115" s="125">
        <v>93.57</v>
      </c>
      <c r="I115" s="124">
        <f>G115+H115</f>
        <v>925.95</v>
      </c>
      <c r="J115" s="126">
        <f>G115*F115</f>
        <v>1664.76</v>
      </c>
      <c r="K115" s="126">
        <f>H115*F115</f>
        <v>187.14</v>
      </c>
      <c r="L115" s="126">
        <v>20</v>
      </c>
      <c r="M115" s="126">
        <f>J115*L115/100</f>
        <v>332.952</v>
      </c>
      <c r="N115" s="126">
        <f>K115*L115/100</f>
        <v>37.427999999999997</v>
      </c>
      <c r="O115" s="126">
        <f>M115+N115</f>
        <v>370.38</v>
      </c>
      <c r="P115" s="139">
        <f>J115+K115+O115</f>
        <v>2222.2800000000002</v>
      </c>
      <c r="Q115" s="26"/>
    </row>
    <row r="116" spans="1:24" s="74" customFormat="1" ht="28.5" x14ac:dyDescent="0.25">
      <c r="A116" s="246" t="s">
        <v>265</v>
      </c>
      <c r="B116" s="215" t="s">
        <v>88</v>
      </c>
      <c r="C116" s="199" t="s">
        <v>251</v>
      </c>
      <c r="D116" s="84" t="s">
        <v>89</v>
      </c>
      <c r="E116" s="29" t="s">
        <v>38</v>
      </c>
      <c r="F116" s="31">
        <f>M17</f>
        <v>0.92400000000000015</v>
      </c>
      <c r="G116" s="31">
        <v>0</v>
      </c>
      <c r="H116" s="83">
        <v>81.44</v>
      </c>
      <c r="I116" s="31">
        <f>G116+H116</f>
        <v>81.44</v>
      </c>
      <c r="J116" s="113">
        <f>G116*F116</f>
        <v>0</v>
      </c>
      <c r="K116" s="113">
        <f>H116*F116</f>
        <v>75.250560000000007</v>
      </c>
      <c r="L116" s="113">
        <v>20</v>
      </c>
      <c r="M116" s="113">
        <f t="shared" ref="M116:M124" si="3">J116*L116/100</f>
        <v>0</v>
      </c>
      <c r="N116" s="113">
        <f t="shared" ref="N116:N124" si="4">K116*L116/100</f>
        <v>15.050112000000002</v>
      </c>
      <c r="O116" s="113">
        <f t="shared" ref="O116:O124" si="5">M116+N116</f>
        <v>15.050112000000002</v>
      </c>
      <c r="P116" s="140">
        <f t="shared" ref="P116:P124" si="6">J116+K116+O116</f>
        <v>90.300672000000006</v>
      </c>
      <c r="Q116" s="26"/>
    </row>
    <row r="117" spans="1:24" s="74" customFormat="1" ht="24" customHeight="1" x14ac:dyDescent="0.25">
      <c r="A117" s="246" t="s">
        <v>266</v>
      </c>
      <c r="B117" s="215" t="s">
        <v>102</v>
      </c>
      <c r="C117" s="199" t="s">
        <v>251</v>
      </c>
      <c r="D117" s="84" t="s">
        <v>103</v>
      </c>
      <c r="E117" s="29" t="s">
        <v>38</v>
      </c>
      <c r="F117" s="31">
        <f>M18</f>
        <v>1.19</v>
      </c>
      <c r="G117" s="31">
        <v>0</v>
      </c>
      <c r="H117" s="83">
        <v>223.96</v>
      </c>
      <c r="I117" s="31">
        <f t="shared" ref="I117:I124" si="7">G117+H117</f>
        <v>223.96</v>
      </c>
      <c r="J117" s="113">
        <f t="shared" ref="J117:J124" si="8">G117*F117</f>
        <v>0</v>
      </c>
      <c r="K117" s="113">
        <f t="shared" ref="K117:K124" si="9">H117*F117</f>
        <v>266.51240000000001</v>
      </c>
      <c r="L117" s="113">
        <v>20</v>
      </c>
      <c r="M117" s="113">
        <f t="shared" si="3"/>
        <v>0</v>
      </c>
      <c r="N117" s="113">
        <f t="shared" si="4"/>
        <v>53.302480000000003</v>
      </c>
      <c r="O117" s="113">
        <f t="shared" si="5"/>
        <v>53.302480000000003</v>
      </c>
      <c r="P117" s="140">
        <f t="shared" si="6"/>
        <v>319.81488000000002</v>
      </c>
      <c r="Q117" s="26"/>
    </row>
    <row r="118" spans="1:24" s="74" customFormat="1" ht="28.5" x14ac:dyDescent="0.25">
      <c r="A118" s="246" t="s">
        <v>267</v>
      </c>
      <c r="B118" s="215" t="s">
        <v>104</v>
      </c>
      <c r="C118" s="199" t="s">
        <v>251</v>
      </c>
      <c r="D118" s="84" t="s">
        <v>105</v>
      </c>
      <c r="E118" s="29" t="s">
        <v>38</v>
      </c>
      <c r="F118" s="31">
        <f>M19</f>
        <v>0.3</v>
      </c>
      <c r="G118" s="31">
        <v>0</v>
      </c>
      <c r="H118" s="83">
        <v>122.16</v>
      </c>
      <c r="I118" s="31">
        <f t="shared" si="7"/>
        <v>122.16</v>
      </c>
      <c r="J118" s="113">
        <f t="shared" si="8"/>
        <v>0</v>
      </c>
      <c r="K118" s="113">
        <f t="shared" si="9"/>
        <v>36.647999999999996</v>
      </c>
      <c r="L118" s="113">
        <v>20</v>
      </c>
      <c r="M118" s="113">
        <f t="shared" si="3"/>
        <v>0</v>
      </c>
      <c r="N118" s="113">
        <f t="shared" si="4"/>
        <v>7.3295999999999992</v>
      </c>
      <c r="O118" s="113">
        <f t="shared" si="5"/>
        <v>7.3295999999999992</v>
      </c>
      <c r="P118" s="140">
        <f t="shared" si="6"/>
        <v>43.977599999999995</v>
      </c>
      <c r="Q118" s="26"/>
    </row>
    <row r="119" spans="1:24" s="74" customFormat="1" ht="28.5" x14ac:dyDescent="0.25">
      <c r="A119" s="246" t="s">
        <v>268</v>
      </c>
      <c r="B119" s="215" t="s">
        <v>90</v>
      </c>
      <c r="C119" s="199" t="s">
        <v>251</v>
      </c>
      <c r="D119" s="84" t="s">
        <v>91</v>
      </c>
      <c r="E119" s="29" t="s">
        <v>38</v>
      </c>
      <c r="F119" s="31">
        <f>F118+F117+F116</f>
        <v>2.4140000000000001</v>
      </c>
      <c r="G119" s="83">
        <v>30.42</v>
      </c>
      <c r="H119" s="83">
        <v>109.94</v>
      </c>
      <c r="I119" s="31">
        <f t="shared" si="7"/>
        <v>140.36000000000001</v>
      </c>
      <c r="J119" s="113">
        <f t="shared" si="8"/>
        <v>73.433880000000002</v>
      </c>
      <c r="K119" s="113">
        <f t="shared" si="9"/>
        <v>265.39516000000003</v>
      </c>
      <c r="L119" s="113">
        <v>20</v>
      </c>
      <c r="M119" s="113">
        <f t="shared" si="3"/>
        <v>14.686776</v>
      </c>
      <c r="N119" s="113">
        <f t="shared" si="4"/>
        <v>53.079032000000005</v>
      </c>
      <c r="O119" s="113">
        <f t="shared" si="5"/>
        <v>67.765808000000007</v>
      </c>
      <c r="P119" s="140">
        <f t="shared" si="6"/>
        <v>406.59484800000001</v>
      </c>
      <c r="Q119" s="26"/>
    </row>
    <row r="120" spans="1:24" s="74" customFormat="1" ht="42.75" x14ac:dyDescent="0.25">
      <c r="A120" s="246" t="s">
        <v>269</v>
      </c>
      <c r="B120" s="215" t="s">
        <v>92</v>
      </c>
      <c r="C120" s="199" t="s">
        <v>251</v>
      </c>
      <c r="D120" s="84" t="s">
        <v>93</v>
      </c>
      <c r="E120" s="29" t="s">
        <v>38</v>
      </c>
      <c r="F120" s="31">
        <f>F119</f>
        <v>2.4140000000000001</v>
      </c>
      <c r="G120" s="83">
        <v>103.95</v>
      </c>
      <c r="H120" s="83">
        <v>12.22</v>
      </c>
      <c r="I120" s="31">
        <f t="shared" si="7"/>
        <v>116.17</v>
      </c>
      <c r="J120" s="113">
        <f t="shared" si="8"/>
        <v>250.93530000000001</v>
      </c>
      <c r="K120" s="113">
        <f t="shared" si="9"/>
        <v>29.499080000000003</v>
      </c>
      <c r="L120" s="113">
        <v>20</v>
      </c>
      <c r="M120" s="113">
        <f t="shared" si="3"/>
        <v>50.187060000000002</v>
      </c>
      <c r="N120" s="113">
        <f t="shared" si="4"/>
        <v>5.8998160000000004</v>
      </c>
      <c r="O120" s="113">
        <f t="shared" si="5"/>
        <v>56.086876000000004</v>
      </c>
      <c r="P120" s="140">
        <f t="shared" si="6"/>
        <v>336.52125600000005</v>
      </c>
      <c r="Q120" s="26"/>
    </row>
    <row r="121" spans="1:24" s="74" customFormat="1" ht="28.5" x14ac:dyDescent="0.25">
      <c r="A121" s="246" t="s">
        <v>270</v>
      </c>
      <c r="B121" s="29" t="s">
        <v>28</v>
      </c>
      <c r="C121" s="199" t="s">
        <v>251</v>
      </c>
      <c r="D121" s="30" t="s">
        <v>30</v>
      </c>
      <c r="E121" s="29" t="s">
        <v>38</v>
      </c>
      <c r="F121" s="31">
        <f>M13</f>
        <v>0.81</v>
      </c>
      <c r="G121" s="83">
        <v>16.78</v>
      </c>
      <c r="H121" s="83">
        <v>0.28999999999999998</v>
      </c>
      <c r="I121" s="31">
        <f t="shared" si="7"/>
        <v>17.07</v>
      </c>
      <c r="J121" s="113">
        <f t="shared" si="8"/>
        <v>13.591800000000001</v>
      </c>
      <c r="K121" s="113">
        <f t="shared" si="9"/>
        <v>0.2349</v>
      </c>
      <c r="L121" s="113">
        <v>20</v>
      </c>
      <c r="M121" s="113">
        <f t="shared" si="3"/>
        <v>2.7183600000000001</v>
      </c>
      <c r="N121" s="113">
        <f t="shared" si="4"/>
        <v>4.6980000000000001E-2</v>
      </c>
      <c r="O121" s="113">
        <f t="shared" si="5"/>
        <v>2.7653400000000001</v>
      </c>
      <c r="P121" s="140">
        <f t="shared" si="6"/>
        <v>16.592040000000001</v>
      </c>
      <c r="Q121" s="26"/>
    </row>
    <row r="122" spans="1:24" s="74" customFormat="1" ht="42.75" x14ac:dyDescent="0.25">
      <c r="A122" s="246" t="s">
        <v>271</v>
      </c>
      <c r="B122" s="29" t="s">
        <v>32</v>
      </c>
      <c r="C122" s="199" t="s">
        <v>251</v>
      </c>
      <c r="D122" s="30" t="s">
        <v>33</v>
      </c>
      <c r="E122" s="29" t="s">
        <v>164</v>
      </c>
      <c r="F122" s="31">
        <v>2</v>
      </c>
      <c r="G122" s="83">
        <v>1232.48</v>
      </c>
      <c r="H122" s="83">
        <v>125</v>
      </c>
      <c r="I122" s="31">
        <f t="shared" si="7"/>
        <v>1357.48</v>
      </c>
      <c r="J122" s="113">
        <f t="shared" si="8"/>
        <v>2464.96</v>
      </c>
      <c r="K122" s="113">
        <f t="shared" si="9"/>
        <v>250</v>
      </c>
      <c r="L122" s="113">
        <v>20</v>
      </c>
      <c r="M122" s="113">
        <f t="shared" si="3"/>
        <v>492.99199999999996</v>
      </c>
      <c r="N122" s="113">
        <f t="shared" si="4"/>
        <v>50</v>
      </c>
      <c r="O122" s="113">
        <f t="shared" si="5"/>
        <v>542.99199999999996</v>
      </c>
      <c r="P122" s="140">
        <f t="shared" si="6"/>
        <v>3257.9520000000002</v>
      </c>
      <c r="Q122" s="26"/>
    </row>
    <row r="123" spans="1:24" s="74" customFormat="1" ht="24" customHeight="1" x14ac:dyDescent="0.25">
      <c r="A123" s="246" t="s">
        <v>272</v>
      </c>
      <c r="B123" s="32" t="s">
        <v>34</v>
      </c>
      <c r="C123" s="199" t="s">
        <v>251</v>
      </c>
      <c r="D123" s="30" t="s">
        <v>35</v>
      </c>
      <c r="E123" s="29" t="s">
        <v>18</v>
      </c>
      <c r="F123" s="31">
        <f>M11</f>
        <v>71.13</v>
      </c>
      <c r="G123" s="83">
        <v>10.97</v>
      </c>
      <c r="H123" s="83">
        <v>5.37</v>
      </c>
      <c r="I123" s="31">
        <f t="shared" si="7"/>
        <v>16.34</v>
      </c>
      <c r="J123" s="113">
        <f t="shared" si="8"/>
        <v>780.29610000000002</v>
      </c>
      <c r="K123" s="113">
        <f t="shared" si="9"/>
        <v>381.96809999999999</v>
      </c>
      <c r="L123" s="113">
        <v>20</v>
      </c>
      <c r="M123" s="113">
        <f t="shared" si="3"/>
        <v>156.05922000000001</v>
      </c>
      <c r="N123" s="113">
        <f t="shared" si="4"/>
        <v>76.393619999999999</v>
      </c>
      <c r="O123" s="113">
        <f t="shared" si="5"/>
        <v>232.45284000000001</v>
      </c>
      <c r="P123" s="140">
        <f t="shared" si="6"/>
        <v>1394.71704</v>
      </c>
      <c r="Q123" s="26"/>
    </row>
    <row r="124" spans="1:24" s="74" customFormat="1" ht="24" customHeight="1" x14ac:dyDescent="0.25">
      <c r="A124" s="246" t="s">
        <v>250</v>
      </c>
      <c r="B124" s="32" t="s">
        <v>36</v>
      </c>
      <c r="C124" s="199" t="s">
        <v>251</v>
      </c>
      <c r="D124" s="30" t="s">
        <v>37</v>
      </c>
      <c r="E124" s="29" t="s">
        <v>18</v>
      </c>
      <c r="F124" s="31">
        <f>M20</f>
        <v>27.599999999999998</v>
      </c>
      <c r="G124" s="83">
        <v>5.23</v>
      </c>
      <c r="H124" s="83">
        <v>20.100000000000001</v>
      </c>
      <c r="I124" s="31">
        <f t="shared" si="7"/>
        <v>25.330000000000002</v>
      </c>
      <c r="J124" s="113">
        <f t="shared" si="8"/>
        <v>144.34800000000001</v>
      </c>
      <c r="K124" s="113">
        <f t="shared" si="9"/>
        <v>554.76</v>
      </c>
      <c r="L124" s="113">
        <v>20</v>
      </c>
      <c r="M124" s="113">
        <f t="shared" si="3"/>
        <v>28.869600000000002</v>
      </c>
      <c r="N124" s="113">
        <f t="shared" si="4"/>
        <v>110.95200000000001</v>
      </c>
      <c r="O124" s="113">
        <f t="shared" si="5"/>
        <v>139.82160000000002</v>
      </c>
      <c r="P124" s="140">
        <f t="shared" si="6"/>
        <v>838.92959999999994</v>
      </c>
      <c r="Q124" s="26"/>
    </row>
    <row r="125" spans="1:24" s="74" customFormat="1" ht="24" customHeight="1" x14ac:dyDescent="0.25">
      <c r="A125" s="142"/>
      <c r="B125" s="118"/>
      <c r="C125" s="118"/>
      <c r="D125" s="119" t="s">
        <v>204</v>
      </c>
      <c r="E125" s="119"/>
      <c r="F125" s="120"/>
      <c r="G125" s="120"/>
      <c r="H125" s="120"/>
      <c r="I125" s="120"/>
      <c r="J125" s="121">
        <f>SUM(J115:J124)</f>
        <v>5392.3250800000005</v>
      </c>
      <c r="K125" s="121">
        <f>SUM(K115:K124)</f>
        <v>2047.4082000000001</v>
      </c>
      <c r="L125" s="121"/>
      <c r="M125" s="121">
        <f>SUM(M115:M124)</f>
        <v>1078.4650160000001</v>
      </c>
      <c r="N125" s="121">
        <f>SUM(N115:N124)</f>
        <v>409.48163999999997</v>
      </c>
      <c r="O125" s="121">
        <f>SUM(O115:O124)</f>
        <v>1487.9466559999998</v>
      </c>
      <c r="P125" s="143">
        <f>SUM(P115:P124)</f>
        <v>8927.6799360000005</v>
      </c>
      <c r="Q125" s="26"/>
    </row>
    <row r="126" spans="1:24" s="74" customFormat="1" ht="5.0999999999999996" customHeight="1" x14ac:dyDescent="0.25">
      <c r="A126" s="144"/>
      <c r="B126" s="26"/>
      <c r="C126" s="26"/>
      <c r="D126" s="27"/>
      <c r="E126" s="27"/>
      <c r="F126" s="111"/>
      <c r="G126" s="111"/>
      <c r="H126" s="111"/>
      <c r="I126" s="111"/>
      <c r="J126" s="114"/>
      <c r="K126" s="114"/>
      <c r="L126" s="114"/>
      <c r="M126" s="114"/>
      <c r="N126" s="114"/>
      <c r="O126" s="114"/>
      <c r="P126" s="145"/>
      <c r="Q126" s="26"/>
    </row>
    <row r="127" spans="1:24" s="188" customFormat="1" ht="24" customHeight="1" x14ac:dyDescent="0.25">
      <c r="A127" s="221">
        <v>2</v>
      </c>
      <c r="B127" s="222"/>
      <c r="C127" s="294" t="s">
        <v>39</v>
      </c>
      <c r="D127" s="294"/>
      <c r="E127" s="294"/>
      <c r="F127" s="294"/>
      <c r="G127" s="294"/>
      <c r="H127" s="294"/>
      <c r="I127" s="294"/>
      <c r="J127" s="294"/>
      <c r="K127" s="222"/>
      <c r="L127" s="222"/>
      <c r="M127" s="222"/>
      <c r="N127" s="222"/>
      <c r="O127" s="222"/>
      <c r="P127" s="223"/>
      <c r="Q127" s="187"/>
    </row>
    <row r="128" spans="1:24" s="74" customFormat="1" ht="28.5" x14ac:dyDescent="0.25">
      <c r="A128" s="241" t="s">
        <v>261</v>
      </c>
      <c r="B128" s="122" t="s">
        <v>106</v>
      </c>
      <c r="C128" s="198" t="s">
        <v>251</v>
      </c>
      <c r="D128" s="123" t="s">
        <v>107</v>
      </c>
      <c r="E128" s="122" t="s">
        <v>18</v>
      </c>
      <c r="F128" s="124">
        <f>G12</f>
        <v>8.1</v>
      </c>
      <c r="G128" s="125">
        <v>0</v>
      </c>
      <c r="H128" s="125">
        <v>2.04</v>
      </c>
      <c r="I128" s="124">
        <f t="shared" ref="I128" si="10">G128+H128</f>
        <v>2.04</v>
      </c>
      <c r="J128" s="126">
        <f t="shared" ref="J128" si="11">G128*F128</f>
        <v>0</v>
      </c>
      <c r="K128" s="126">
        <f t="shared" ref="K128" si="12">H128*F128</f>
        <v>16.524000000000001</v>
      </c>
      <c r="L128" s="126">
        <v>20</v>
      </c>
      <c r="M128" s="126">
        <f t="shared" ref="M128" si="13">J128*L128/100</f>
        <v>0</v>
      </c>
      <c r="N128" s="126">
        <f t="shared" ref="N128" si="14">K128*L128/100</f>
        <v>3.3048000000000002</v>
      </c>
      <c r="O128" s="126">
        <f t="shared" ref="O128" si="15">M128+N128</f>
        <v>3.3048000000000002</v>
      </c>
      <c r="P128" s="139">
        <f t="shared" ref="P128" si="16">J128+K128+O128</f>
        <v>19.828800000000001</v>
      </c>
      <c r="Q128" s="26"/>
    </row>
    <row r="129" spans="1:17" s="74" customFormat="1" ht="28.5" x14ac:dyDescent="0.25">
      <c r="A129" s="242" t="s">
        <v>262</v>
      </c>
      <c r="B129" s="29" t="s">
        <v>29</v>
      </c>
      <c r="C129" s="199" t="s">
        <v>251</v>
      </c>
      <c r="D129" s="30" t="s">
        <v>31</v>
      </c>
      <c r="E129" s="29" t="s">
        <v>38</v>
      </c>
      <c r="F129" s="31">
        <f>M14</f>
        <v>12.67</v>
      </c>
      <c r="G129" s="83">
        <v>6.75</v>
      </c>
      <c r="H129" s="83">
        <v>0.12</v>
      </c>
      <c r="I129" s="31">
        <f t="shared" ref="I129:I131" si="17">G129+H129</f>
        <v>6.87</v>
      </c>
      <c r="J129" s="113">
        <f t="shared" ref="J129:J131" si="18">G129*F129</f>
        <v>85.522499999999994</v>
      </c>
      <c r="K129" s="113">
        <f t="shared" ref="K129:K131" si="19">H129*F129</f>
        <v>1.5204</v>
      </c>
      <c r="L129" s="113">
        <v>20</v>
      </c>
      <c r="M129" s="113">
        <f t="shared" ref="M129:M131" si="20">J129*L129/100</f>
        <v>17.104499999999998</v>
      </c>
      <c r="N129" s="113">
        <f t="shared" ref="N129:N131" si="21">K129*L129/100</f>
        <v>0.30408000000000002</v>
      </c>
      <c r="O129" s="113">
        <f t="shared" ref="O129:O131" si="22">M129+N129</f>
        <v>17.408579999999997</v>
      </c>
      <c r="P129" s="140">
        <f t="shared" ref="P129:P131" si="23">J129+K129+O129</f>
        <v>104.45147999999999</v>
      </c>
      <c r="Q129" s="26"/>
    </row>
    <row r="130" spans="1:17" s="74" customFormat="1" ht="42.75" x14ac:dyDescent="0.25">
      <c r="A130" s="242" t="s">
        <v>263</v>
      </c>
      <c r="B130" s="33">
        <v>97083</v>
      </c>
      <c r="C130" s="200" t="s">
        <v>252</v>
      </c>
      <c r="D130" s="30" t="s">
        <v>40</v>
      </c>
      <c r="E130" s="29" t="s">
        <v>18</v>
      </c>
      <c r="F130" s="31">
        <f>M15</f>
        <v>81.7</v>
      </c>
      <c r="G130" s="31">
        <f>0.07+1.19</f>
        <v>1.26</v>
      </c>
      <c r="H130" s="31">
        <v>2.89</v>
      </c>
      <c r="I130" s="31">
        <f t="shared" si="17"/>
        <v>4.1500000000000004</v>
      </c>
      <c r="J130" s="113">
        <f t="shared" si="18"/>
        <v>102.94200000000001</v>
      </c>
      <c r="K130" s="113">
        <f t="shared" si="19"/>
        <v>236.11300000000003</v>
      </c>
      <c r="L130" s="113">
        <v>20</v>
      </c>
      <c r="M130" s="113">
        <f t="shared" si="20"/>
        <v>20.5884</v>
      </c>
      <c r="N130" s="113">
        <f t="shared" si="21"/>
        <v>47.2226</v>
      </c>
      <c r="O130" s="113">
        <f t="shared" si="22"/>
        <v>67.811000000000007</v>
      </c>
      <c r="P130" s="140">
        <f t="shared" si="23"/>
        <v>406.8660000000001</v>
      </c>
      <c r="Q130" s="26"/>
    </row>
    <row r="131" spans="1:17" s="74" customFormat="1" ht="28.5" x14ac:dyDescent="0.25">
      <c r="A131" s="243" t="s">
        <v>372</v>
      </c>
      <c r="B131" s="274" t="s">
        <v>41</v>
      </c>
      <c r="C131" s="205" t="s">
        <v>251</v>
      </c>
      <c r="D131" s="131" t="s">
        <v>42</v>
      </c>
      <c r="E131" s="127" t="s">
        <v>38</v>
      </c>
      <c r="F131" s="132">
        <f>M23+M24</f>
        <v>19.694900000000001</v>
      </c>
      <c r="G131" s="132">
        <v>0</v>
      </c>
      <c r="H131" s="133">
        <v>61.08</v>
      </c>
      <c r="I131" s="132">
        <f t="shared" si="17"/>
        <v>61.08</v>
      </c>
      <c r="J131" s="129">
        <f t="shared" si="18"/>
        <v>0</v>
      </c>
      <c r="K131" s="129">
        <f t="shared" si="19"/>
        <v>1202.9644920000001</v>
      </c>
      <c r="L131" s="129">
        <v>20</v>
      </c>
      <c r="M131" s="129">
        <f t="shared" si="20"/>
        <v>0</v>
      </c>
      <c r="N131" s="129">
        <f t="shared" si="21"/>
        <v>240.59289840000002</v>
      </c>
      <c r="O131" s="129">
        <f t="shared" si="22"/>
        <v>240.59289840000002</v>
      </c>
      <c r="P131" s="141">
        <f t="shared" si="23"/>
        <v>1443.5573904</v>
      </c>
      <c r="Q131" s="26"/>
    </row>
    <row r="132" spans="1:17" s="74" customFormat="1" ht="24" customHeight="1" x14ac:dyDescent="0.25">
      <c r="A132" s="142"/>
      <c r="B132" s="118"/>
      <c r="C132" s="118"/>
      <c r="D132" s="119" t="s">
        <v>204</v>
      </c>
      <c r="E132" s="119"/>
      <c r="F132" s="120"/>
      <c r="G132" s="120"/>
      <c r="H132" s="120"/>
      <c r="I132" s="120"/>
      <c r="J132" s="121">
        <f>SUM(J128:J131)</f>
        <v>188.46449999999999</v>
      </c>
      <c r="K132" s="121">
        <f>SUM(K128:K131)</f>
        <v>1457.1218920000001</v>
      </c>
      <c r="L132" s="121"/>
      <c r="M132" s="121">
        <f>SUM(M128:M131)</f>
        <v>37.692899999999995</v>
      </c>
      <c r="N132" s="121">
        <f>SUM(N128:N131)</f>
        <v>291.42437840000002</v>
      </c>
      <c r="O132" s="121">
        <f>SUM(O128:O131)</f>
        <v>329.11727840000003</v>
      </c>
      <c r="P132" s="143">
        <f>SUM(P128:P131)</f>
        <v>1974.7036704000002</v>
      </c>
      <c r="Q132" s="26"/>
    </row>
    <row r="133" spans="1:17" s="74" customFormat="1" ht="5.0999999999999996" customHeight="1" x14ac:dyDescent="0.25">
      <c r="A133" s="144"/>
      <c r="B133" s="26"/>
      <c r="C133" s="26"/>
      <c r="D133" s="27"/>
      <c r="E133" s="27"/>
      <c r="F133" s="111"/>
      <c r="G133" s="111"/>
      <c r="H133" s="111"/>
      <c r="I133" s="111"/>
      <c r="J133" s="114"/>
      <c r="K133" s="114"/>
      <c r="L133" s="114"/>
      <c r="M133" s="114"/>
      <c r="N133" s="114"/>
      <c r="O133" s="114"/>
      <c r="P133" s="145"/>
      <c r="Q133" s="26"/>
    </row>
    <row r="134" spans="1:17" s="188" customFormat="1" ht="24" customHeight="1" x14ac:dyDescent="0.25">
      <c r="A134" s="221">
        <v>3</v>
      </c>
      <c r="B134" s="222"/>
      <c r="C134" s="294" t="s">
        <v>43</v>
      </c>
      <c r="D134" s="294"/>
      <c r="E134" s="294"/>
      <c r="F134" s="294"/>
      <c r="G134" s="294"/>
      <c r="H134" s="294"/>
      <c r="I134" s="294"/>
      <c r="J134" s="294"/>
      <c r="K134" s="224"/>
      <c r="L134" s="264"/>
      <c r="M134" s="222"/>
      <c r="N134" s="222"/>
      <c r="O134" s="222"/>
      <c r="P134" s="223"/>
      <c r="Q134" s="187"/>
    </row>
    <row r="135" spans="1:17" s="74" customFormat="1" ht="42.75" x14ac:dyDescent="0.25">
      <c r="A135" s="241" t="s">
        <v>254</v>
      </c>
      <c r="B135" s="225" t="s">
        <v>44</v>
      </c>
      <c r="C135" s="198" t="s">
        <v>252</v>
      </c>
      <c r="D135" s="226" t="s">
        <v>316</v>
      </c>
      <c r="E135" s="227" t="s">
        <v>18</v>
      </c>
      <c r="F135" s="228">
        <f>G11+M57</f>
        <v>75.08</v>
      </c>
      <c r="G135" s="228">
        <v>1.59</v>
      </c>
      <c r="H135" s="228">
        <v>0.42</v>
      </c>
      <c r="I135" s="124">
        <f t="shared" ref="I135:I142" si="24">G135+H135</f>
        <v>2.0100000000000002</v>
      </c>
      <c r="J135" s="126">
        <f t="shared" ref="J135:J142" si="25">G135*F135</f>
        <v>119.3772</v>
      </c>
      <c r="K135" s="126">
        <f t="shared" ref="K135:K142" si="26">H135*F135</f>
        <v>31.5336</v>
      </c>
      <c r="L135" s="126">
        <v>20</v>
      </c>
      <c r="M135" s="126">
        <f t="shared" ref="M135:M142" si="27">J135*L135/100</f>
        <v>23.875439999999998</v>
      </c>
      <c r="N135" s="126">
        <f t="shared" ref="N135:N142" si="28">K135*L135/100</f>
        <v>6.3067200000000003</v>
      </c>
      <c r="O135" s="126">
        <f t="shared" ref="O135:O142" si="29">M135+N135</f>
        <v>30.182159999999996</v>
      </c>
      <c r="P135" s="139">
        <f t="shared" ref="P135:P142" si="30">J135+K135+O135</f>
        <v>181.09296000000001</v>
      </c>
      <c r="Q135" s="26"/>
    </row>
    <row r="136" spans="1:17" s="74" customFormat="1" ht="24" customHeight="1" x14ac:dyDescent="0.25">
      <c r="A136" s="242" t="s">
        <v>255</v>
      </c>
      <c r="B136" s="34" t="s">
        <v>45</v>
      </c>
      <c r="C136" s="199" t="s">
        <v>251</v>
      </c>
      <c r="D136" s="30" t="s">
        <v>196</v>
      </c>
      <c r="E136" s="29" t="s">
        <v>38</v>
      </c>
      <c r="F136" s="165">
        <f>M26</f>
        <v>3.7439999999999998</v>
      </c>
      <c r="G136" s="83">
        <v>157.34</v>
      </c>
      <c r="H136" s="83">
        <v>30.54</v>
      </c>
      <c r="I136" s="31">
        <f>G136+H136</f>
        <v>187.88</v>
      </c>
      <c r="J136" s="113">
        <f>G136*F136</f>
        <v>589.08096</v>
      </c>
      <c r="K136" s="113">
        <f t="shared" si="26"/>
        <v>114.34175999999999</v>
      </c>
      <c r="L136" s="113">
        <v>20</v>
      </c>
      <c r="M136" s="113">
        <f>J136*L136/100</f>
        <v>117.81619200000002</v>
      </c>
      <c r="N136" s="113">
        <f t="shared" si="28"/>
        <v>22.868352000000002</v>
      </c>
      <c r="O136" s="113">
        <f t="shared" si="29"/>
        <v>140.68454400000002</v>
      </c>
      <c r="P136" s="140">
        <f t="shared" si="30"/>
        <v>844.10726399999999</v>
      </c>
      <c r="Q136" s="26"/>
    </row>
    <row r="137" spans="1:17" s="74" customFormat="1" ht="28.5" x14ac:dyDescent="0.25">
      <c r="A137" s="242" t="s">
        <v>256</v>
      </c>
      <c r="B137" s="34" t="s">
        <v>389</v>
      </c>
      <c r="C137" s="199" t="s">
        <v>251</v>
      </c>
      <c r="D137" s="30" t="s">
        <v>390</v>
      </c>
      <c r="E137" s="29" t="s">
        <v>95</v>
      </c>
      <c r="F137" s="165">
        <v>6</v>
      </c>
      <c r="G137" s="83">
        <v>28.57</v>
      </c>
      <c r="H137" s="83">
        <v>39.42</v>
      </c>
      <c r="I137" s="31">
        <f>G137+H137</f>
        <v>67.990000000000009</v>
      </c>
      <c r="J137" s="113">
        <f>G137*F137</f>
        <v>171.42000000000002</v>
      </c>
      <c r="K137" s="113">
        <f t="shared" ref="K137" si="31">H137*F137</f>
        <v>236.52</v>
      </c>
      <c r="L137" s="113">
        <v>20</v>
      </c>
      <c r="M137" s="113">
        <f>J137*L137/100</f>
        <v>34.284000000000006</v>
      </c>
      <c r="N137" s="113">
        <f t="shared" ref="N137" si="32">K137*L137/100</f>
        <v>47.304000000000002</v>
      </c>
      <c r="O137" s="113">
        <f t="shared" ref="O137" si="33">M137+N137</f>
        <v>81.588000000000008</v>
      </c>
      <c r="P137" s="140">
        <f t="shared" ref="P137" si="34">J137+K137+O137</f>
        <v>489.52800000000008</v>
      </c>
      <c r="Q137" s="26"/>
    </row>
    <row r="138" spans="1:17" s="74" customFormat="1" ht="28.5" x14ac:dyDescent="0.25">
      <c r="A138" s="242" t="s">
        <v>257</v>
      </c>
      <c r="B138" s="34" t="s">
        <v>47</v>
      </c>
      <c r="C138" s="199" t="s">
        <v>251</v>
      </c>
      <c r="D138" s="30" t="s">
        <v>48</v>
      </c>
      <c r="E138" s="29" t="s">
        <v>94</v>
      </c>
      <c r="F138" s="31">
        <f>M28</f>
        <v>182.41480000000001</v>
      </c>
      <c r="G138" s="83">
        <v>8.83</v>
      </c>
      <c r="H138" s="83">
        <v>2.62</v>
      </c>
      <c r="I138" s="31">
        <f t="shared" si="24"/>
        <v>11.45</v>
      </c>
      <c r="J138" s="113">
        <f t="shared" si="25"/>
        <v>1610.7226840000001</v>
      </c>
      <c r="K138" s="113">
        <f t="shared" si="26"/>
        <v>477.92677600000007</v>
      </c>
      <c r="L138" s="113">
        <v>20</v>
      </c>
      <c r="M138" s="113">
        <f t="shared" si="27"/>
        <v>322.14453680000003</v>
      </c>
      <c r="N138" s="113">
        <f t="shared" si="28"/>
        <v>95.585355200000009</v>
      </c>
      <c r="O138" s="113">
        <f t="shared" si="29"/>
        <v>417.72989200000006</v>
      </c>
      <c r="P138" s="140">
        <f t="shared" si="30"/>
        <v>2506.3793519999999</v>
      </c>
      <c r="Q138" s="26"/>
    </row>
    <row r="139" spans="1:17" s="74" customFormat="1" ht="28.5" x14ac:dyDescent="0.25">
      <c r="A139" s="242" t="s">
        <v>258</v>
      </c>
      <c r="B139" s="34" t="s">
        <v>49</v>
      </c>
      <c r="C139" s="199" t="s">
        <v>251</v>
      </c>
      <c r="D139" s="30" t="s">
        <v>50</v>
      </c>
      <c r="E139" s="29" t="s">
        <v>94</v>
      </c>
      <c r="F139" s="31">
        <f>M30</f>
        <v>42</v>
      </c>
      <c r="G139" s="83">
        <v>9.3800000000000008</v>
      </c>
      <c r="H139" s="83">
        <v>2.62</v>
      </c>
      <c r="I139" s="31">
        <f t="shared" si="24"/>
        <v>12</v>
      </c>
      <c r="J139" s="113">
        <f t="shared" si="25"/>
        <v>393.96000000000004</v>
      </c>
      <c r="K139" s="113">
        <f t="shared" si="26"/>
        <v>110.04</v>
      </c>
      <c r="L139" s="113">
        <v>20</v>
      </c>
      <c r="M139" s="113">
        <f t="shared" si="27"/>
        <v>78.792000000000002</v>
      </c>
      <c r="N139" s="113">
        <f t="shared" si="28"/>
        <v>22.008000000000003</v>
      </c>
      <c r="O139" s="113">
        <f t="shared" si="29"/>
        <v>100.80000000000001</v>
      </c>
      <c r="P139" s="140">
        <f t="shared" si="30"/>
        <v>604.80000000000007</v>
      </c>
      <c r="Q139" s="26"/>
    </row>
    <row r="140" spans="1:17" s="74" customFormat="1" ht="42.75" x14ac:dyDescent="0.25">
      <c r="A140" s="242" t="s">
        <v>259</v>
      </c>
      <c r="B140" s="29">
        <v>97090</v>
      </c>
      <c r="C140" s="199" t="s">
        <v>251</v>
      </c>
      <c r="D140" s="30" t="s">
        <v>320</v>
      </c>
      <c r="E140" s="29" t="s">
        <v>94</v>
      </c>
      <c r="F140" s="31">
        <f>M27</f>
        <v>150.94200000000001</v>
      </c>
      <c r="G140" s="83">
        <v>12.17</v>
      </c>
      <c r="H140" s="83">
        <v>0.96</v>
      </c>
      <c r="I140" s="31">
        <f t="shared" si="24"/>
        <v>13.129999999999999</v>
      </c>
      <c r="J140" s="113">
        <f t="shared" si="25"/>
        <v>1836.96414</v>
      </c>
      <c r="K140" s="113">
        <f t="shared" si="26"/>
        <v>144.90432000000001</v>
      </c>
      <c r="L140" s="113">
        <v>20</v>
      </c>
      <c r="M140" s="113">
        <f t="shared" si="27"/>
        <v>367.39282800000001</v>
      </c>
      <c r="N140" s="113">
        <f t="shared" si="28"/>
        <v>28.980864</v>
      </c>
      <c r="O140" s="113">
        <f t="shared" si="29"/>
        <v>396.37369200000001</v>
      </c>
      <c r="P140" s="140">
        <f t="shared" si="30"/>
        <v>2378.2421520000003</v>
      </c>
      <c r="Q140" s="26"/>
    </row>
    <row r="141" spans="1:17" s="74" customFormat="1" ht="42.75" x14ac:dyDescent="0.25">
      <c r="A141" s="242" t="s">
        <v>260</v>
      </c>
      <c r="B141" s="34">
        <v>97096</v>
      </c>
      <c r="C141" s="199" t="s">
        <v>252</v>
      </c>
      <c r="D141" s="30" t="s">
        <v>319</v>
      </c>
      <c r="E141" s="29" t="s">
        <v>38</v>
      </c>
      <c r="F141" s="31">
        <f>M32+M33</f>
        <v>9.1162499999999991</v>
      </c>
      <c r="G141" s="83">
        <f>0.03+520.24</f>
        <v>520.27</v>
      </c>
      <c r="H141" s="31">
        <f>18.05+0.02</f>
        <v>18.07</v>
      </c>
      <c r="I141" s="31">
        <f t="shared" si="24"/>
        <v>538.34</v>
      </c>
      <c r="J141" s="113">
        <f t="shared" si="25"/>
        <v>4742.9113874999994</v>
      </c>
      <c r="K141" s="113">
        <f t="shared" si="26"/>
        <v>164.73063749999997</v>
      </c>
      <c r="L141" s="113">
        <v>20</v>
      </c>
      <c r="M141" s="113">
        <f t="shared" si="27"/>
        <v>948.58227749999992</v>
      </c>
      <c r="N141" s="113">
        <f t="shared" si="28"/>
        <v>32.946127499999996</v>
      </c>
      <c r="O141" s="113">
        <f t="shared" si="29"/>
        <v>981.52840499999991</v>
      </c>
      <c r="P141" s="140">
        <f t="shared" si="30"/>
        <v>5889.1704299999992</v>
      </c>
      <c r="Q141" s="26"/>
    </row>
    <row r="142" spans="1:17" s="74" customFormat="1" ht="24" customHeight="1" x14ac:dyDescent="0.25">
      <c r="A142" s="243" t="s">
        <v>391</v>
      </c>
      <c r="B142" s="287" t="s">
        <v>51</v>
      </c>
      <c r="C142" s="205" t="s">
        <v>251</v>
      </c>
      <c r="D142" s="131" t="s">
        <v>52</v>
      </c>
      <c r="E142" s="127" t="s">
        <v>38</v>
      </c>
      <c r="F142" s="132">
        <f>M35</f>
        <v>1.6392</v>
      </c>
      <c r="G142" s="133">
        <v>537.16999999999996</v>
      </c>
      <c r="H142" s="133">
        <v>374.08</v>
      </c>
      <c r="I142" s="132">
        <f t="shared" si="24"/>
        <v>911.25</v>
      </c>
      <c r="J142" s="129">
        <f t="shared" si="25"/>
        <v>880.52906399999995</v>
      </c>
      <c r="K142" s="129">
        <f t="shared" si="26"/>
        <v>613.19193599999994</v>
      </c>
      <c r="L142" s="129">
        <v>20</v>
      </c>
      <c r="M142" s="129">
        <f t="shared" si="27"/>
        <v>176.1058128</v>
      </c>
      <c r="N142" s="129">
        <f t="shared" si="28"/>
        <v>122.6383872</v>
      </c>
      <c r="O142" s="129">
        <f t="shared" si="29"/>
        <v>298.74419999999998</v>
      </c>
      <c r="P142" s="141">
        <f t="shared" si="30"/>
        <v>1792.4652000000001</v>
      </c>
      <c r="Q142" s="26"/>
    </row>
    <row r="143" spans="1:17" s="74" customFormat="1" ht="24" customHeight="1" x14ac:dyDescent="0.25">
      <c r="A143" s="142"/>
      <c r="B143" s="118"/>
      <c r="C143" s="118"/>
      <c r="D143" s="119" t="s">
        <v>204</v>
      </c>
      <c r="E143" s="119"/>
      <c r="F143" s="120"/>
      <c r="G143" s="120"/>
      <c r="H143" s="120"/>
      <c r="I143" s="120"/>
      <c r="J143" s="121">
        <f>SUM(J135:J142)</f>
        <v>10344.9654355</v>
      </c>
      <c r="K143" s="121">
        <f>SUM(K135:K142)</f>
        <v>1893.1890295000001</v>
      </c>
      <c r="L143" s="121"/>
      <c r="M143" s="121">
        <f>SUM(M135:M142)</f>
        <v>2068.9930871000001</v>
      </c>
      <c r="N143" s="121">
        <f>SUM(N135:N142)</f>
        <v>378.63780589999999</v>
      </c>
      <c r="O143" s="121">
        <f>SUM(O135:O142)</f>
        <v>2447.630893</v>
      </c>
      <c r="P143" s="143">
        <f>SUM(P135:P142)</f>
        <v>14685.785357999999</v>
      </c>
      <c r="Q143" s="26"/>
    </row>
    <row r="144" spans="1:17" s="74" customFormat="1" ht="5.0999999999999996" customHeight="1" x14ac:dyDescent="0.25">
      <c r="A144" s="144"/>
      <c r="B144" s="26"/>
      <c r="C144" s="26"/>
      <c r="D144" s="27"/>
      <c r="E144" s="27"/>
      <c r="F144" s="111"/>
      <c r="G144" s="111"/>
      <c r="H144" s="111"/>
      <c r="I144" s="111"/>
      <c r="J144" s="114"/>
      <c r="K144" s="114"/>
      <c r="L144" s="114"/>
      <c r="M144" s="114"/>
      <c r="N144" s="114"/>
      <c r="O144" s="114"/>
      <c r="P144" s="145"/>
      <c r="Q144" s="26"/>
    </row>
    <row r="145" spans="1:17" s="74" customFormat="1" ht="24" customHeight="1" x14ac:dyDescent="0.25">
      <c r="A145" s="146">
        <v>4</v>
      </c>
      <c r="B145" s="130"/>
      <c r="C145" s="348" t="s">
        <v>53</v>
      </c>
      <c r="D145" s="348"/>
      <c r="E145" s="348"/>
      <c r="F145" s="348"/>
      <c r="G145" s="348"/>
      <c r="H145" s="348"/>
      <c r="I145" s="348" t="s">
        <v>54</v>
      </c>
      <c r="J145" s="348"/>
      <c r="K145" s="267"/>
      <c r="L145" s="265"/>
      <c r="M145" s="265"/>
      <c r="N145" s="130"/>
      <c r="O145" s="130"/>
      <c r="P145" s="147"/>
      <c r="Q145" s="26"/>
    </row>
    <row r="146" spans="1:17" s="74" customFormat="1" ht="28.5" x14ac:dyDescent="0.25">
      <c r="A146" s="241" t="s">
        <v>253</v>
      </c>
      <c r="B146" s="122" t="s">
        <v>55</v>
      </c>
      <c r="C146" s="198" t="s">
        <v>251</v>
      </c>
      <c r="D146" s="123" t="s">
        <v>56</v>
      </c>
      <c r="E146" s="122" t="s">
        <v>18</v>
      </c>
      <c r="F146" s="166">
        <f>M37+M38</f>
        <v>11.748000000000001</v>
      </c>
      <c r="G146" s="125">
        <v>176.28</v>
      </c>
      <c r="H146" s="125">
        <v>67.73</v>
      </c>
      <c r="I146" s="124">
        <f t="shared" ref="I146:I148" si="35">G146+H146</f>
        <v>244.01</v>
      </c>
      <c r="J146" s="126">
        <f t="shared" ref="J146:J148" si="36">G146*F146</f>
        <v>2070.9374400000002</v>
      </c>
      <c r="K146" s="126">
        <f t="shared" ref="K146:K148" si="37">H146*F146</f>
        <v>795.69204000000013</v>
      </c>
      <c r="L146" s="126">
        <v>20</v>
      </c>
      <c r="M146" s="126">
        <f t="shared" ref="M146:M148" si="38">J146*L146/100</f>
        <v>414.18748800000003</v>
      </c>
      <c r="N146" s="126">
        <f t="shared" ref="N146:N148" si="39">K146*L146/100</f>
        <v>159.13840800000003</v>
      </c>
      <c r="O146" s="126">
        <f t="shared" ref="O146:O148" si="40">M146+N146</f>
        <v>573.32589600000006</v>
      </c>
      <c r="P146" s="139">
        <f t="shared" ref="P146:P148" si="41">J146+K146+O146</f>
        <v>3439.9553760000008</v>
      </c>
      <c r="Q146" s="114"/>
    </row>
    <row r="147" spans="1:17" s="74" customFormat="1" ht="28.5" x14ac:dyDescent="0.25">
      <c r="A147" s="242" t="s">
        <v>273</v>
      </c>
      <c r="B147" s="29" t="s">
        <v>47</v>
      </c>
      <c r="C147" s="199" t="s">
        <v>251</v>
      </c>
      <c r="D147" s="30" t="s">
        <v>48</v>
      </c>
      <c r="E147" s="29" t="s">
        <v>94</v>
      </c>
      <c r="F147" s="165">
        <f>M41</f>
        <v>303</v>
      </c>
      <c r="G147" s="83">
        <v>8.83</v>
      </c>
      <c r="H147" s="83">
        <v>2.62</v>
      </c>
      <c r="I147" s="31">
        <f t="shared" si="35"/>
        <v>11.45</v>
      </c>
      <c r="J147" s="113">
        <f t="shared" si="36"/>
        <v>2675.4900000000002</v>
      </c>
      <c r="K147" s="113">
        <f t="shared" si="37"/>
        <v>793.86</v>
      </c>
      <c r="L147" s="113">
        <v>20</v>
      </c>
      <c r="M147" s="113">
        <f t="shared" si="38"/>
        <v>535.09800000000007</v>
      </c>
      <c r="N147" s="113">
        <f t="shared" si="39"/>
        <v>158.77200000000002</v>
      </c>
      <c r="O147" s="113">
        <f t="shared" si="40"/>
        <v>693.87000000000012</v>
      </c>
      <c r="P147" s="140">
        <f t="shared" si="41"/>
        <v>4163.22</v>
      </c>
      <c r="Q147" s="114"/>
    </row>
    <row r="148" spans="1:17" s="74" customFormat="1" ht="28.5" x14ac:dyDescent="0.25">
      <c r="A148" s="242" t="s">
        <v>274</v>
      </c>
      <c r="B148" s="29" t="s">
        <v>49</v>
      </c>
      <c r="C148" s="199" t="s">
        <v>251</v>
      </c>
      <c r="D148" s="30" t="s">
        <v>50</v>
      </c>
      <c r="E148" s="29" t="s">
        <v>94</v>
      </c>
      <c r="F148" s="165">
        <f>M42</f>
        <v>88</v>
      </c>
      <c r="G148" s="83">
        <v>9.3800000000000008</v>
      </c>
      <c r="H148" s="83">
        <v>2.62</v>
      </c>
      <c r="I148" s="31">
        <f t="shared" si="35"/>
        <v>12</v>
      </c>
      <c r="J148" s="113">
        <f t="shared" si="36"/>
        <v>825.44</v>
      </c>
      <c r="K148" s="113">
        <f t="shared" si="37"/>
        <v>230.56</v>
      </c>
      <c r="L148" s="113">
        <v>20</v>
      </c>
      <c r="M148" s="113">
        <f t="shared" si="38"/>
        <v>165.08800000000002</v>
      </c>
      <c r="N148" s="113">
        <f t="shared" si="39"/>
        <v>46.111999999999995</v>
      </c>
      <c r="O148" s="113">
        <f t="shared" si="40"/>
        <v>211.20000000000002</v>
      </c>
      <c r="P148" s="140">
        <f t="shared" si="41"/>
        <v>1267.2</v>
      </c>
      <c r="Q148" s="114"/>
    </row>
    <row r="149" spans="1:17" s="74" customFormat="1" ht="28.5" x14ac:dyDescent="0.25">
      <c r="A149" s="242" t="s">
        <v>275</v>
      </c>
      <c r="B149" s="29">
        <v>103672</v>
      </c>
      <c r="C149" s="199" t="s">
        <v>252</v>
      </c>
      <c r="D149" s="30" t="s">
        <v>317</v>
      </c>
      <c r="E149" s="29" t="s">
        <v>38</v>
      </c>
      <c r="F149" s="165">
        <f>G39</f>
        <v>2.12</v>
      </c>
      <c r="G149" s="83">
        <f>543.28+0.1</f>
        <v>543.38</v>
      </c>
      <c r="H149" s="83">
        <f>37.4+0.03</f>
        <v>37.43</v>
      </c>
      <c r="I149" s="31">
        <f t="shared" ref="I149:I150" si="42">G149+H149</f>
        <v>580.80999999999995</v>
      </c>
      <c r="J149" s="113">
        <f t="shared" ref="J149:J150" si="43">G149*F149</f>
        <v>1151.9656</v>
      </c>
      <c r="K149" s="113">
        <f t="shared" ref="K149:K150" si="44">H149*F149</f>
        <v>79.351600000000005</v>
      </c>
      <c r="L149" s="113">
        <v>20</v>
      </c>
      <c r="M149" s="113">
        <f t="shared" ref="M149:M150" si="45">J149*L149/100</f>
        <v>230.39311999999998</v>
      </c>
      <c r="N149" s="113">
        <f t="shared" ref="N149:N150" si="46">K149*L149/100</f>
        <v>15.870320000000001</v>
      </c>
      <c r="O149" s="113">
        <f t="shared" ref="O149:O150" si="47">M149+N149</f>
        <v>246.26343999999997</v>
      </c>
      <c r="P149" s="140">
        <f t="shared" ref="P149:P150" si="48">J149+K149+O149</f>
        <v>1477.5806399999999</v>
      </c>
      <c r="Q149" s="114"/>
    </row>
    <row r="150" spans="1:17" s="74" customFormat="1" ht="57" x14ac:dyDescent="0.25">
      <c r="A150" s="243" t="s">
        <v>276</v>
      </c>
      <c r="B150" s="127">
        <v>103675</v>
      </c>
      <c r="C150" s="205" t="s">
        <v>252</v>
      </c>
      <c r="D150" s="131" t="s">
        <v>318</v>
      </c>
      <c r="E150" s="127" t="s">
        <v>38</v>
      </c>
      <c r="F150" s="194">
        <f>H39</f>
        <v>1.87</v>
      </c>
      <c r="G150" s="133">
        <f>0.12+542.62</f>
        <v>542.74</v>
      </c>
      <c r="H150" s="133">
        <f>37.49+0.04</f>
        <v>37.53</v>
      </c>
      <c r="I150" s="132">
        <f t="shared" si="42"/>
        <v>580.27</v>
      </c>
      <c r="J150" s="129">
        <f t="shared" si="43"/>
        <v>1014.9238</v>
      </c>
      <c r="K150" s="129">
        <f t="shared" si="44"/>
        <v>70.181100000000001</v>
      </c>
      <c r="L150" s="129">
        <v>20</v>
      </c>
      <c r="M150" s="129">
        <f t="shared" si="45"/>
        <v>202.98476000000002</v>
      </c>
      <c r="N150" s="129">
        <f t="shared" si="46"/>
        <v>14.03622</v>
      </c>
      <c r="O150" s="129">
        <f t="shared" si="47"/>
        <v>217.02098000000001</v>
      </c>
      <c r="P150" s="141">
        <f t="shared" si="48"/>
        <v>1302.1258800000001</v>
      </c>
      <c r="Q150" s="114"/>
    </row>
    <row r="151" spans="1:17" s="74" customFormat="1" ht="24" customHeight="1" x14ac:dyDescent="0.25">
      <c r="A151" s="142"/>
      <c r="B151" s="118"/>
      <c r="C151" s="118"/>
      <c r="D151" s="119" t="s">
        <v>204</v>
      </c>
      <c r="E151" s="119"/>
      <c r="F151" s="120"/>
      <c r="G151" s="120"/>
      <c r="H151" s="120"/>
      <c r="I151" s="120"/>
      <c r="J151" s="121">
        <f>SUM(J146:J150)</f>
        <v>7738.75684</v>
      </c>
      <c r="K151" s="121">
        <f>SUM(K146:K150)</f>
        <v>1969.64474</v>
      </c>
      <c r="L151" s="121"/>
      <c r="M151" s="121">
        <f>SUM(M146:M150)</f>
        <v>1547.7513680000002</v>
      </c>
      <c r="N151" s="121">
        <f>SUM(N146:N150)</f>
        <v>393.92894800000005</v>
      </c>
      <c r="O151" s="121">
        <f>SUM(O146:O150)</f>
        <v>1941.6803160000002</v>
      </c>
      <c r="P151" s="143">
        <f>SUM(P146:P150)</f>
        <v>11650.081896000002</v>
      </c>
      <c r="Q151" s="114"/>
    </row>
    <row r="152" spans="1:17" s="74" customFormat="1" ht="5.0999999999999996" customHeight="1" x14ac:dyDescent="0.25">
      <c r="A152" s="144"/>
      <c r="B152" s="26"/>
      <c r="C152" s="26"/>
      <c r="D152" s="27"/>
      <c r="E152" s="27"/>
      <c r="F152" s="111"/>
      <c r="G152" s="111"/>
      <c r="H152" s="111"/>
      <c r="I152" s="111"/>
      <c r="J152" s="114"/>
      <c r="K152" s="114"/>
      <c r="L152" s="114"/>
      <c r="M152" s="114"/>
      <c r="N152" s="114"/>
      <c r="O152" s="114"/>
      <c r="P152" s="145"/>
      <c r="Q152" s="114"/>
    </row>
    <row r="153" spans="1:17" s="74" customFormat="1" ht="24" customHeight="1" x14ac:dyDescent="0.25">
      <c r="A153" s="146">
        <v>5</v>
      </c>
      <c r="B153" s="130"/>
      <c r="C153" s="294" t="s">
        <v>57</v>
      </c>
      <c r="D153" s="294"/>
      <c r="E153" s="294"/>
      <c r="F153" s="294"/>
      <c r="G153" s="294"/>
      <c r="H153" s="294"/>
      <c r="I153" s="294" t="s">
        <v>58</v>
      </c>
      <c r="J153" s="294"/>
      <c r="K153" s="267"/>
      <c r="L153" s="266"/>
      <c r="M153" s="265"/>
      <c r="N153" s="339"/>
      <c r="O153" s="339"/>
      <c r="P153" s="148"/>
      <c r="Q153" s="26"/>
    </row>
    <row r="154" spans="1:17" s="74" customFormat="1" ht="57" x14ac:dyDescent="0.25">
      <c r="A154" s="241" t="s">
        <v>277</v>
      </c>
      <c r="B154" s="234">
        <v>89282</v>
      </c>
      <c r="C154" s="198" t="s">
        <v>252</v>
      </c>
      <c r="D154" s="226" t="s">
        <v>205</v>
      </c>
      <c r="E154" s="227" t="s">
        <v>18</v>
      </c>
      <c r="F154" s="235">
        <f>M67</f>
        <v>111.2</v>
      </c>
      <c r="G154" s="228">
        <f>50.86+0.02</f>
        <v>50.88</v>
      </c>
      <c r="H154" s="124">
        <v>23.3</v>
      </c>
      <c r="I154" s="124">
        <f t="shared" ref="I154" si="49">G154+H154</f>
        <v>74.180000000000007</v>
      </c>
      <c r="J154" s="126">
        <f t="shared" ref="J154" si="50">G154*F154</f>
        <v>5657.8560000000007</v>
      </c>
      <c r="K154" s="126">
        <f t="shared" ref="K154" si="51">H154*F154</f>
        <v>2590.96</v>
      </c>
      <c r="L154" s="126">
        <v>20</v>
      </c>
      <c r="M154" s="126">
        <f t="shared" ref="M154" si="52">J154*L154/100</f>
        <v>1131.5712000000001</v>
      </c>
      <c r="N154" s="126">
        <f t="shared" ref="N154" si="53">K154*L154/100</f>
        <v>518.19200000000001</v>
      </c>
      <c r="O154" s="126">
        <f t="shared" ref="O154" si="54">M154+N154</f>
        <v>1649.7632000000001</v>
      </c>
      <c r="P154" s="139">
        <f t="shared" ref="P154" si="55">J154+K154+O154</f>
        <v>9898.5792000000001</v>
      </c>
      <c r="Q154" s="114"/>
    </row>
    <row r="155" spans="1:17" s="74" customFormat="1" ht="24" customHeight="1" x14ac:dyDescent="0.25">
      <c r="A155" s="242" t="s">
        <v>278</v>
      </c>
      <c r="B155" s="29" t="s">
        <v>59</v>
      </c>
      <c r="C155" s="199" t="s">
        <v>251</v>
      </c>
      <c r="D155" s="30" t="s">
        <v>60</v>
      </c>
      <c r="E155" s="29" t="s">
        <v>38</v>
      </c>
      <c r="F155" s="165">
        <f>M70+M71</f>
        <v>0.74699999999999989</v>
      </c>
      <c r="G155" s="236">
        <v>965.24</v>
      </c>
      <c r="H155" s="83">
        <v>853.76</v>
      </c>
      <c r="I155" s="31">
        <f t="shared" ref="I155" si="56">G155+H155</f>
        <v>1819</v>
      </c>
      <c r="J155" s="113">
        <f t="shared" ref="J155" si="57">G155*F155</f>
        <v>721.03427999999985</v>
      </c>
      <c r="K155" s="113">
        <f t="shared" ref="K155" si="58">H155*F155</f>
        <v>637.75871999999993</v>
      </c>
      <c r="L155" s="113">
        <v>20</v>
      </c>
      <c r="M155" s="113">
        <f t="shared" ref="M155" si="59">J155*L155/100</f>
        <v>144.20685599999996</v>
      </c>
      <c r="N155" s="113">
        <f t="shared" ref="N155" si="60">K155*L155/100</f>
        <v>127.55174399999999</v>
      </c>
      <c r="O155" s="113">
        <f t="shared" ref="O155" si="61">M155+N155</f>
        <v>271.75859999999994</v>
      </c>
      <c r="P155" s="140">
        <f t="shared" ref="P155" si="62">J155+K155+O155</f>
        <v>1630.5515999999996</v>
      </c>
      <c r="Q155" s="114"/>
    </row>
    <row r="156" spans="1:17" s="74" customFormat="1" ht="42.75" x14ac:dyDescent="0.25">
      <c r="A156" s="242" t="s">
        <v>279</v>
      </c>
      <c r="B156" s="29">
        <v>96358</v>
      </c>
      <c r="C156" s="199" t="s">
        <v>252</v>
      </c>
      <c r="D156" s="30" t="s">
        <v>383</v>
      </c>
      <c r="E156" s="29" t="s">
        <v>18</v>
      </c>
      <c r="F156" s="165">
        <f>M69</f>
        <v>20.700000000000003</v>
      </c>
      <c r="G156" s="236">
        <v>73.33</v>
      </c>
      <c r="H156" s="83">
        <v>14.22</v>
      </c>
      <c r="I156" s="31">
        <f t="shared" ref="I156:I157" si="63">G156+H156</f>
        <v>87.55</v>
      </c>
      <c r="J156" s="113">
        <f t="shared" ref="J156:J157" si="64">G156*F156</f>
        <v>1517.9310000000003</v>
      </c>
      <c r="K156" s="113">
        <f t="shared" ref="K156:K157" si="65">H156*F156</f>
        <v>294.35400000000004</v>
      </c>
      <c r="L156" s="113">
        <v>20</v>
      </c>
      <c r="M156" s="113">
        <f t="shared" ref="M156:M157" si="66">J156*L156/100</f>
        <v>303.58620000000008</v>
      </c>
      <c r="N156" s="113">
        <f t="shared" ref="N156:N157" si="67">K156*L156/100</f>
        <v>58.87080000000001</v>
      </c>
      <c r="O156" s="113">
        <f t="shared" ref="O156:O157" si="68">M156+N156</f>
        <v>362.45700000000011</v>
      </c>
      <c r="P156" s="140">
        <f t="shared" ref="P156:P157" si="69">J156+K156+O156</f>
        <v>2174.7420000000002</v>
      </c>
      <c r="Q156" s="114"/>
    </row>
    <row r="157" spans="1:17" s="74" customFormat="1" ht="57" x14ac:dyDescent="0.25">
      <c r="A157" s="243" t="s">
        <v>385</v>
      </c>
      <c r="B157" s="127">
        <v>96361</v>
      </c>
      <c r="C157" s="205" t="s">
        <v>252</v>
      </c>
      <c r="D157" s="131" t="s">
        <v>384</v>
      </c>
      <c r="E157" s="127" t="s">
        <v>18</v>
      </c>
      <c r="F157" s="194">
        <f>M68</f>
        <v>36.75</v>
      </c>
      <c r="G157" s="278">
        <v>112.49</v>
      </c>
      <c r="H157" s="133">
        <v>19.3</v>
      </c>
      <c r="I157" s="132">
        <f t="shared" si="63"/>
        <v>131.79</v>
      </c>
      <c r="J157" s="129">
        <f t="shared" si="64"/>
        <v>4134.0074999999997</v>
      </c>
      <c r="K157" s="129">
        <f t="shared" si="65"/>
        <v>709.27499999999998</v>
      </c>
      <c r="L157" s="129">
        <v>20</v>
      </c>
      <c r="M157" s="129">
        <f t="shared" si="66"/>
        <v>826.80149999999992</v>
      </c>
      <c r="N157" s="129">
        <f t="shared" si="67"/>
        <v>141.85499999999999</v>
      </c>
      <c r="O157" s="129">
        <f t="shared" si="68"/>
        <v>968.65649999999994</v>
      </c>
      <c r="P157" s="141">
        <f t="shared" si="69"/>
        <v>5811.9389999999994</v>
      </c>
      <c r="Q157" s="114"/>
    </row>
    <row r="158" spans="1:17" s="74" customFormat="1" ht="24" customHeight="1" x14ac:dyDescent="0.25">
      <c r="A158" s="142"/>
      <c r="B158" s="118"/>
      <c r="C158" s="118"/>
      <c r="D158" s="119" t="s">
        <v>204</v>
      </c>
      <c r="E158" s="119"/>
      <c r="F158" s="120"/>
      <c r="G158" s="120"/>
      <c r="H158" s="120"/>
      <c r="I158" s="120"/>
      <c r="J158" s="121">
        <f>SUM(J154:J157)</f>
        <v>12030.82878</v>
      </c>
      <c r="K158" s="121">
        <f>SUM(K154:K157)</f>
        <v>4232.3477199999998</v>
      </c>
      <c r="L158" s="121"/>
      <c r="M158" s="121">
        <f>SUM(M154:M157)</f>
        <v>2406.1657560000003</v>
      </c>
      <c r="N158" s="121">
        <f>SUM(N154:N157)</f>
        <v>846.46954400000004</v>
      </c>
      <c r="O158" s="121">
        <f>SUM(O154:O157)</f>
        <v>3252.6352999999999</v>
      </c>
      <c r="P158" s="143">
        <f>SUM(P154:P157)</f>
        <v>19515.811799999999</v>
      </c>
      <c r="Q158" s="114"/>
    </row>
    <row r="159" spans="1:17" s="74" customFormat="1" ht="5.0999999999999996" customHeight="1" x14ac:dyDescent="0.25">
      <c r="A159" s="144"/>
      <c r="B159" s="26"/>
      <c r="C159" s="26"/>
      <c r="D159" s="27"/>
      <c r="E159" s="27"/>
      <c r="F159" s="27"/>
      <c r="G159" s="27"/>
      <c r="H159" s="27"/>
      <c r="I159" s="27"/>
      <c r="J159" s="26"/>
      <c r="K159" s="26"/>
      <c r="L159" s="26"/>
      <c r="M159" s="26"/>
      <c r="N159" s="26"/>
      <c r="O159" s="26"/>
      <c r="P159" s="149"/>
      <c r="Q159" s="26"/>
    </row>
    <row r="160" spans="1:17" s="74" customFormat="1" ht="24" customHeight="1" x14ac:dyDescent="0.25">
      <c r="A160" s="146">
        <v>6</v>
      </c>
      <c r="B160" s="130"/>
      <c r="C160" s="294" t="s">
        <v>61</v>
      </c>
      <c r="D160" s="294"/>
      <c r="E160" s="294"/>
      <c r="F160" s="294"/>
      <c r="G160" s="294"/>
      <c r="H160" s="294"/>
      <c r="I160" s="294" t="s">
        <v>58</v>
      </c>
      <c r="J160" s="294"/>
      <c r="K160" s="267"/>
      <c r="L160" s="130"/>
      <c r="M160" s="265"/>
      <c r="N160" s="130"/>
      <c r="O160" s="130"/>
      <c r="P160" s="147"/>
      <c r="Q160" s="26"/>
    </row>
    <row r="161" spans="1:24" s="74" customFormat="1" ht="28.5" x14ac:dyDescent="0.25">
      <c r="A161" s="241" t="s">
        <v>281</v>
      </c>
      <c r="B161" s="216" t="s">
        <v>62</v>
      </c>
      <c r="C161" s="198" t="s">
        <v>251</v>
      </c>
      <c r="D161" s="123" t="s">
        <v>63</v>
      </c>
      <c r="E161" s="122" t="s">
        <v>94</v>
      </c>
      <c r="F161" s="126">
        <f>M44</f>
        <v>949.06349999999998</v>
      </c>
      <c r="G161" s="125">
        <v>15.31</v>
      </c>
      <c r="H161" s="125">
        <v>4.51</v>
      </c>
      <c r="I161" s="124">
        <f>G161+H161</f>
        <v>19.82</v>
      </c>
      <c r="J161" s="126">
        <f t="shared" ref="J161" si="70">G161*F161</f>
        <v>14530.162184999999</v>
      </c>
      <c r="K161" s="126">
        <f>H161*F161</f>
        <v>4280.2763850000001</v>
      </c>
      <c r="L161" s="126">
        <v>20</v>
      </c>
      <c r="M161" s="126">
        <f>J161*L161/100</f>
        <v>2906.0324369999998</v>
      </c>
      <c r="N161" s="126">
        <f t="shared" ref="N161" si="71">K161*L161/100</f>
        <v>856.05527700000005</v>
      </c>
      <c r="O161" s="126">
        <f t="shared" ref="O161" si="72">M161+N161</f>
        <v>3762.0877139999998</v>
      </c>
      <c r="P161" s="139">
        <f t="shared" ref="P161" si="73">J161+K161+O161</f>
        <v>22572.526284</v>
      </c>
      <c r="Q161" s="114"/>
      <c r="R161" s="115"/>
      <c r="S161" s="115"/>
      <c r="T161" s="115"/>
      <c r="U161" s="115"/>
      <c r="V161" s="115"/>
      <c r="W161" s="115"/>
      <c r="X161" s="115"/>
    </row>
    <row r="162" spans="1:24" s="74" customFormat="1" ht="28.5" x14ac:dyDescent="0.25">
      <c r="A162" s="242" t="s">
        <v>282</v>
      </c>
      <c r="B162" s="215" t="s">
        <v>236</v>
      </c>
      <c r="C162" s="199" t="s">
        <v>251</v>
      </c>
      <c r="D162" s="30" t="s">
        <v>237</v>
      </c>
      <c r="E162" s="29" t="s">
        <v>18</v>
      </c>
      <c r="F162" s="29">
        <f>M84</f>
        <v>65.849999999999994</v>
      </c>
      <c r="G162" s="83">
        <v>110.34</v>
      </c>
      <c r="H162" s="83">
        <v>0</v>
      </c>
      <c r="I162" s="31">
        <f>G162+H162</f>
        <v>110.34</v>
      </c>
      <c r="J162" s="113">
        <f t="shared" ref="J162:J164" si="74">G162*F162</f>
        <v>7265.8889999999992</v>
      </c>
      <c r="K162" s="113">
        <f t="shared" ref="K162:K164" si="75">H162*F162</f>
        <v>0</v>
      </c>
      <c r="L162" s="113">
        <v>20</v>
      </c>
      <c r="M162" s="113">
        <f t="shared" ref="M162:M164" si="76">J162*L162/100</f>
        <v>1453.1777999999997</v>
      </c>
      <c r="N162" s="113">
        <f t="shared" ref="N162:N164" si="77">K162*L162/100</f>
        <v>0</v>
      </c>
      <c r="O162" s="113">
        <f t="shared" ref="O162:O164" si="78">M162+N162</f>
        <v>1453.1777999999997</v>
      </c>
      <c r="P162" s="140">
        <f t="shared" ref="P162:P164" si="79">J162+K162+O162</f>
        <v>8719.0667999999987</v>
      </c>
      <c r="Q162" s="114"/>
      <c r="R162" s="115"/>
      <c r="S162" s="115"/>
      <c r="T162" s="115"/>
      <c r="U162" s="115"/>
      <c r="V162" s="115"/>
      <c r="W162" s="115"/>
      <c r="X162" s="115"/>
    </row>
    <row r="163" spans="1:24" s="74" customFormat="1" ht="42.75" x14ac:dyDescent="0.25">
      <c r="A163" s="242" t="s">
        <v>283</v>
      </c>
      <c r="B163" s="215" t="s">
        <v>238</v>
      </c>
      <c r="C163" s="199" t="s">
        <v>251</v>
      </c>
      <c r="D163" s="30" t="s">
        <v>239</v>
      </c>
      <c r="E163" s="29" t="s">
        <v>18</v>
      </c>
      <c r="F163" s="29">
        <f>F162</f>
        <v>65.849999999999994</v>
      </c>
      <c r="G163" s="83">
        <v>16.66</v>
      </c>
      <c r="H163" s="83">
        <v>11.07</v>
      </c>
      <c r="I163" s="31">
        <f t="shared" ref="I163:I164" si="80">G163+H163</f>
        <v>27.73</v>
      </c>
      <c r="J163" s="113">
        <f>G163*F163</f>
        <v>1097.0609999999999</v>
      </c>
      <c r="K163" s="113">
        <f t="shared" si="75"/>
        <v>728.95949999999993</v>
      </c>
      <c r="L163" s="113">
        <v>20</v>
      </c>
      <c r="M163" s="113">
        <f t="shared" si="76"/>
        <v>219.41219999999998</v>
      </c>
      <c r="N163" s="113">
        <f t="shared" si="77"/>
        <v>145.7919</v>
      </c>
      <c r="O163" s="113">
        <f t="shared" si="78"/>
        <v>365.20409999999998</v>
      </c>
      <c r="P163" s="140">
        <f t="shared" si="79"/>
        <v>2191.2246</v>
      </c>
      <c r="Q163" s="114"/>
      <c r="R163" s="115"/>
      <c r="S163" s="115"/>
      <c r="T163" s="115"/>
      <c r="U163" s="115"/>
      <c r="V163" s="115"/>
      <c r="W163" s="115"/>
      <c r="X163" s="115"/>
    </row>
    <row r="164" spans="1:24" s="74" customFormat="1" ht="28.5" x14ac:dyDescent="0.25">
      <c r="A164" s="243" t="s">
        <v>284</v>
      </c>
      <c r="B164" s="218" t="s">
        <v>386</v>
      </c>
      <c r="C164" s="205" t="s">
        <v>252</v>
      </c>
      <c r="D164" s="131" t="s">
        <v>387</v>
      </c>
      <c r="E164" s="127" t="s">
        <v>18</v>
      </c>
      <c r="F164" s="127">
        <f>G11</f>
        <v>71.13</v>
      </c>
      <c r="G164" s="133">
        <v>64.42</v>
      </c>
      <c r="H164" s="133">
        <v>4.0999999999999996</v>
      </c>
      <c r="I164" s="132">
        <f t="shared" si="80"/>
        <v>68.52</v>
      </c>
      <c r="J164" s="129">
        <f t="shared" si="74"/>
        <v>4582.1945999999998</v>
      </c>
      <c r="K164" s="129">
        <f t="shared" si="75"/>
        <v>291.63299999999998</v>
      </c>
      <c r="L164" s="129">
        <v>20</v>
      </c>
      <c r="M164" s="129">
        <f t="shared" si="76"/>
        <v>916.43891999999994</v>
      </c>
      <c r="N164" s="129">
        <f t="shared" si="77"/>
        <v>58.326599999999999</v>
      </c>
      <c r="O164" s="129">
        <f t="shared" si="78"/>
        <v>974.76551999999992</v>
      </c>
      <c r="P164" s="141">
        <f t="shared" si="79"/>
        <v>5848.5931199999995</v>
      </c>
      <c r="Q164" s="114"/>
      <c r="R164" s="115"/>
      <c r="S164" s="115"/>
      <c r="T164" s="115"/>
      <c r="U164" s="115"/>
      <c r="V164" s="115"/>
      <c r="W164" s="115"/>
      <c r="X164" s="115"/>
    </row>
    <row r="165" spans="1:24" s="74" customFormat="1" ht="24" customHeight="1" x14ac:dyDescent="0.25">
      <c r="A165" s="142"/>
      <c r="B165" s="118"/>
      <c r="C165" s="118"/>
      <c r="D165" s="119" t="s">
        <v>204</v>
      </c>
      <c r="E165" s="119"/>
      <c r="F165" s="120"/>
      <c r="G165" s="120"/>
      <c r="H165" s="120"/>
      <c r="I165" s="120"/>
      <c r="J165" s="121">
        <f>SUM(J161:J164)</f>
        <v>27475.306784999997</v>
      </c>
      <c r="K165" s="121">
        <f>SUM(K161:K164)</f>
        <v>5300.8688849999999</v>
      </c>
      <c r="L165" s="121"/>
      <c r="M165" s="121">
        <f>SUM(M161:M164)</f>
        <v>5495.0613569999987</v>
      </c>
      <c r="N165" s="121">
        <f>SUM(N161:N164)</f>
        <v>1060.1737770000002</v>
      </c>
      <c r="O165" s="121">
        <f>SUM(O161:O164)</f>
        <v>6555.2351339999996</v>
      </c>
      <c r="P165" s="143">
        <f>SUM(P161:P164)</f>
        <v>39331.410803999999</v>
      </c>
      <c r="Q165" s="114"/>
      <c r="R165" s="115"/>
      <c r="S165" s="115"/>
      <c r="T165" s="115"/>
      <c r="U165" s="115"/>
      <c r="V165" s="115"/>
      <c r="W165" s="115"/>
      <c r="X165" s="115"/>
    </row>
    <row r="166" spans="1:24" s="74" customFormat="1" ht="5.0999999999999996" customHeight="1" x14ac:dyDescent="0.25">
      <c r="A166" s="144"/>
      <c r="B166" s="26"/>
      <c r="C166" s="26"/>
      <c r="D166" s="27"/>
      <c r="E166" s="27"/>
      <c r="F166" s="111"/>
      <c r="G166" s="111"/>
      <c r="H166" s="111"/>
      <c r="I166" s="111"/>
      <c r="J166" s="114"/>
      <c r="K166" s="114"/>
      <c r="L166" s="114"/>
      <c r="M166" s="114"/>
      <c r="N166" s="114"/>
      <c r="O166" s="114"/>
      <c r="P166" s="145"/>
      <c r="Q166" s="114"/>
      <c r="R166" s="115"/>
      <c r="S166" s="115"/>
      <c r="T166" s="115"/>
      <c r="U166" s="115"/>
      <c r="V166" s="115"/>
      <c r="W166" s="115"/>
      <c r="X166" s="115"/>
    </row>
    <row r="167" spans="1:24" s="74" customFormat="1" ht="24" customHeight="1" x14ac:dyDescent="0.25">
      <c r="A167" s="146">
        <v>7</v>
      </c>
      <c r="B167" s="130"/>
      <c r="C167" s="294" t="s">
        <v>65</v>
      </c>
      <c r="D167" s="294" t="s">
        <v>58</v>
      </c>
      <c r="E167" s="294"/>
      <c r="F167" s="294"/>
      <c r="G167" s="294"/>
      <c r="H167" s="294"/>
      <c r="I167" s="294"/>
      <c r="J167" s="294"/>
      <c r="K167" s="267"/>
      <c r="L167" s="266"/>
      <c r="M167" s="130"/>
      <c r="N167" s="130"/>
      <c r="O167" s="130"/>
      <c r="P167" s="147"/>
      <c r="Q167" s="26"/>
    </row>
    <row r="168" spans="1:24" s="74" customFormat="1" ht="42.75" x14ac:dyDescent="0.25">
      <c r="A168" s="241" t="s">
        <v>324</v>
      </c>
      <c r="B168" s="216" t="s">
        <v>100</v>
      </c>
      <c r="C168" s="198" t="s">
        <v>251</v>
      </c>
      <c r="D168" s="134" t="s">
        <v>101</v>
      </c>
      <c r="E168" s="122" t="s">
        <v>95</v>
      </c>
      <c r="F168" s="124">
        <f>M90+M91</f>
        <v>15.1</v>
      </c>
      <c r="G168" s="125">
        <v>50.78</v>
      </c>
      <c r="H168" s="125">
        <v>35.25</v>
      </c>
      <c r="I168" s="124">
        <f>G168+H168</f>
        <v>86.03</v>
      </c>
      <c r="J168" s="126">
        <f t="shared" ref="J168:J169" si="81">G168*F168</f>
        <v>766.77800000000002</v>
      </c>
      <c r="K168" s="126">
        <f>H168*F168</f>
        <v>532.27499999999998</v>
      </c>
      <c r="L168" s="126">
        <v>20</v>
      </c>
      <c r="M168" s="126">
        <f>J168*L168/100</f>
        <v>153.35560000000001</v>
      </c>
      <c r="N168" s="126">
        <f t="shared" ref="N168:N169" si="82">K168*L168/100</f>
        <v>106.455</v>
      </c>
      <c r="O168" s="126">
        <f t="shared" ref="O168:O169" si="83">M168+N168</f>
        <v>259.81060000000002</v>
      </c>
      <c r="P168" s="139">
        <f t="shared" ref="P168:P169" si="84">J168+K168+O168</f>
        <v>1558.8635999999999</v>
      </c>
      <c r="Q168" s="114"/>
      <c r="R168" s="115"/>
      <c r="S168" s="115"/>
      <c r="T168" s="115"/>
      <c r="U168" s="115"/>
      <c r="V168" s="115"/>
      <c r="W168" s="115"/>
      <c r="X168" s="115"/>
    </row>
    <row r="169" spans="1:24" s="74" customFormat="1" ht="42.75" x14ac:dyDescent="0.25">
      <c r="A169" s="244" t="s">
        <v>325</v>
      </c>
      <c r="B169" s="29" t="s">
        <v>248</v>
      </c>
      <c r="C169" s="199" t="s">
        <v>251</v>
      </c>
      <c r="D169" s="30" t="s">
        <v>249</v>
      </c>
      <c r="E169" s="29" t="s">
        <v>95</v>
      </c>
      <c r="F169" s="31">
        <v>8.5</v>
      </c>
      <c r="G169" s="31">
        <v>17.63</v>
      </c>
      <c r="H169" s="31">
        <v>25.03</v>
      </c>
      <c r="I169" s="31">
        <f>G169+H169</f>
        <v>42.66</v>
      </c>
      <c r="J169" s="113">
        <f t="shared" si="81"/>
        <v>149.85499999999999</v>
      </c>
      <c r="K169" s="113">
        <f>H169*F169</f>
        <v>212.755</v>
      </c>
      <c r="L169" s="113">
        <v>20</v>
      </c>
      <c r="M169" s="113">
        <f>J169*L169/100</f>
        <v>29.971</v>
      </c>
      <c r="N169" s="113">
        <f t="shared" si="82"/>
        <v>42.551000000000002</v>
      </c>
      <c r="O169" s="113">
        <f t="shared" si="83"/>
        <v>72.522000000000006</v>
      </c>
      <c r="P169" s="140">
        <f t="shared" si="84"/>
        <v>435.13200000000001</v>
      </c>
      <c r="Q169" s="114"/>
      <c r="R169" s="115"/>
      <c r="S169" s="115"/>
      <c r="T169" s="115"/>
      <c r="U169" s="115"/>
      <c r="V169" s="115"/>
      <c r="W169" s="115"/>
      <c r="X169" s="115"/>
    </row>
    <row r="170" spans="1:24" s="74" customFormat="1" ht="28.5" x14ac:dyDescent="0.25">
      <c r="A170" s="242" t="s">
        <v>326</v>
      </c>
      <c r="B170" s="29">
        <v>94228</v>
      </c>
      <c r="C170" s="199" t="s">
        <v>252</v>
      </c>
      <c r="D170" s="30" t="s">
        <v>214</v>
      </c>
      <c r="E170" s="29" t="s">
        <v>95</v>
      </c>
      <c r="F170" s="31">
        <f>M86</f>
        <v>8</v>
      </c>
      <c r="G170" s="31">
        <v>78.08</v>
      </c>
      <c r="H170" s="31">
        <v>14.61</v>
      </c>
      <c r="I170" s="31">
        <f>G170+H170</f>
        <v>92.69</v>
      </c>
      <c r="J170" s="113">
        <f t="shared" ref="J170" si="85">G170*F170</f>
        <v>624.64</v>
      </c>
      <c r="K170" s="113">
        <f>H170*F170</f>
        <v>116.88</v>
      </c>
      <c r="L170" s="113">
        <v>20</v>
      </c>
      <c r="M170" s="113">
        <f>J170*L170/100</f>
        <v>124.928</v>
      </c>
      <c r="N170" s="113">
        <f t="shared" ref="N170" si="86">K170*L170/100</f>
        <v>23.375999999999998</v>
      </c>
      <c r="O170" s="113">
        <f t="shared" ref="O170" si="87">M170+N170</f>
        <v>148.304</v>
      </c>
      <c r="P170" s="140">
        <f t="shared" ref="P170" si="88">J170+K170+O170</f>
        <v>889.82399999999996</v>
      </c>
      <c r="Q170" s="114"/>
      <c r="R170" s="115"/>
      <c r="S170" s="115"/>
      <c r="T170" s="115"/>
      <c r="U170" s="115"/>
      <c r="V170" s="115"/>
      <c r="W170" s="115"/>
      <c r="X170" s="115"/>
    </row>
    <row r="171" spans="1:24" s="74" customFormat="1" ht="28.5" x14ac:dyDescent="0.25">
      <c r="A171" s="242" t="s">
        <v>327</v>
      </c>
      <c r="B171" s="29">
        <v>94231</v>
      </c>
      <c r="C171" s="199" t="s">
        <v>252</v>
      </c>
      <c r="D171" s="30" t="s">
        <v>213</v>
      </c>
      <c r="E171" s="29" t="s">
        <v>95</v>
      </c>
      <c r="F171" s="31">
        <f>M87+M88+M89</f>
        <v>73.39</v>
      </c>
      <c r="G171" s="31">
        <v>47.14</v>
      </c>
      <c r="H171" s="31">
        <v>5.32</v>
      </c>
      <c r="I171" s="31">
        <f>G171+H171</f>
        <v>52.46</v>
      </c>
      <c r="J171" s="113">
        <f t="shared" ref="J171" si="89">G171*F171</f>
        <v>3459.6046000000001</v>
      </c>
      <c r="K171" s="113">
        <f>H171*F171</f>
        <v>390.4348</v>
      </c>
      <c r="L171" s="113">
        <v>20</v>
      </c>
      <c r="M171" s="113">
        <f>J171*L171/100</f>
        <v>691.92092000000002</v>
      </c>
      <c r="N171" s="113">
        <f t="shared" ref="N171" si="90">K171*L171/100</f>
        <v>78.086960000000005</v>
      </c>
      <c r="O171" s="113">
        <f t="shared" ref="O171" si="91">M171+N171</f>
        <v>770.00788</v>
      </c>
      <c r="P171" s="140">
        <f t="shared" ref="P171" si="92">J171+K171+O171</f>
        <v>4620.0472799999998</v>
      </c>
      <c r="Q171" s="114"/>
      <c r="R171" s="115"/>
      <c r="S171" s="115"/>
      <c r="T171" s="115"/>
      <c r="U171" s="115"/>
      <c r="V171" s="115"/>
      <c r="W171" s="115"/>
      <c r="X171" s="115"/>
    </row>
    <row r="172" spans="1:24" s="74" customFormat="1" ht="25.5" customHeight="1" x14ac:dyDescent="0.25">
      <c r="A172" s="243" t="s">
        <v>328</v>
      </c>
      <c r="B172" s="127" t="s">
        <v>321</v>
      </c>
      <c r="C172" s="205" t="s">
        <v>251</v>
      </c>
      <c r="D172" s="132" t="s">
        <v>322</v>
      </c>
      <c r="E172" s="127" t="s">
        <v>323</v>
      </c>
      <c r="F172" s="132">
        <v>1</v>
      </c>
      <c r="G172" s="133">
        <v>101.44</v>
      </c>
      <c r="H172" s="133">
        <v>226.45</v>
      </c>
      <c r="I172" s="132">
        <f>G172+H172</f>
        <v>327.89</v>
      </c>
      <c r="J172" s="129">
        <f t="shared" ref="J172" si="93">G172*F172</f>
        <v>101.44</v>
      </c>
      <c r="K172" s="129">
        <f>H172*F172</f>
        <v>226.45</v>
      </c>
      <c r="L172" s="129">
        <v>20</v>
      </c>
      <c r="M172" s="129">
        <f>J172*L172/100</f>
        <v>20.288</v>
      </c>
      <c r="N172" s="129">
        <f t="shared" ref="N172" si="94">K172*L172/100</f>
        <v>45.29</v>
      </c>
      <c r="O172" s="129">
        <f t="shared" ref="O172" si="95">M172+N172</f>
        <v>65.578000000000003</v>
      </c>
      <c r="P172" s="141">
        <f t="shared" ref="P172" si="96">J172+K172+O172</f>
        <v>393.46799999999996</v>
      </c>
      <c r="Q172" s="114"/>
      <c r="R172" s="115"/>
      <c r="S172" s="115"/>
      <c r="T172" s="115"/>
      <c r="U172" s="115"/>
      <c r="V172" s="115"/>
      <c r="W172" s="115"/>
      <c r="X172" s="115"/>
    </row>
    <row r="173" spans="1:24" s="74" customFormat="1" ht="24" customHeight="1" x14ac:dyDescent="0.25">
      <c r="A173" s="142"/>
      <c r="B173" s="118"/>
      <c r="C173" s="118"/>
      <c r="D173" s="119" t="s">
        <v>204</v>
      </c>
      <c r="E173" s="119"/>
      <c r="F173" s="120"/>
      <c r="G173" s="120"/>
      <c r="H173" s="120"/>
      <c r="I173" s="120"/>
      <c r="J173" s="121">
        <f>SUM(J168:J172)</f>
        <v>5102.3175999999994</v>
      </c>
      <c r="K173" s="121">
        <f>SUM(K168:K172)</f>
        <v>1478.7947999999999</v>
      </c>
      <c r="L173" s="121"/>
      <c r="M173" s="121">
        <f>SUM(M168:M172)</f>
        <v>1020.46352</v>
      </c>
      <c r="N173" s="121">
        <f>SUM(N168:N172)</f>
        <v>295.75896</v>
      </c>
      <c r="O173" s="121">
        <f>SUM(O168:O172)</f>
        <v>1316.2224799999999</v>
      </c>
      <c r="P173" s="143">
        <f>SUM(P168:P172)</f>
        <v>7897.3348799999994</v>
      </c>
      <c r="Q173" s="114"/>
      <c r="R173" s="115"/>
      <c r="S173" s="115"/>
      <c r="T173" s="115"/>
      <c r="U173" s="115"/>
      <c r="V173" s="115"/>
      <c r="W173" s="115"/>
      <c r="X173" s="115"/>
    </row>
    <row r="174" spans="1:24" s="74" customFormat="1" ht="5.0999999999999996" customHeight="1" x14ac:dyDescent="0.25">
      <c r="A174" s="269"/>
      <c r="B174" s="17"/>
      <c r="C174" s="17"/>
      <c r="D174" s="270"/>
      <c r="E174" s="270"/>
      <c r="F174" s="271"/>
      <c r="G174" s="271"/>
      <c r="H174" s="271"/>
      <c r="I174" s="271"/>
      <c r="J174" s="272"/>
      <c r="K174" s="272"/>
      <c r="L174" s="272"/>
      <c r="M174" s="272"/>
      <c r="N174" s="272"/>
      <c r="O174" s="272"/>
      <c r="P174" s="273"/>
      <c r="Q174" s="114"/>
      <c r="R174" s="115"/>
      <c r="S174" s="115"/>
      <c r="T174" s="115"/>
      <c r="U174" s="115"/>
      <c r="V174" s="115"/>
      <c r="W174" s="115"/>
      <c r="X174" s="115"/>
    </row>
    <row r="175" spans="1:24" s="74" customFormat="1" ht="24" customHeight="1" x14ac:dyDescent="0.25">
      <c r="A175" s="150">
        <v>8</v>
      </c>
      <c r="B175" s="81"/>
      <c r="C175" s="344" t="s">
        <v>66</v>
      </c>
      <c r="D175" s="344"/>
      <c r="E175" s="344"/>
      <c r="F175" s="344"/>
      <c r="G175" s="344"/>
      <c r="H175" s="344"/>
      <c r="I175" s="344" t="s">
        <v>58</v>
      </c>
      <c r="J175" s="344"/>
      <c r="K175" s="117"/>
      <c r="L175" s="268"/>
      <c r="M175" s="81"/>
      <c r="N175" s="81"/>
      <c r="O175" s="81"/>
      <c r="P175" s="151"/>
      <c r="Q175" s="114"/>
      <c r="R175" s="115"/>
      <c r="S175" s="115"/>
      <c r="T175" s="115"/>
      <c r="U175" s="115"/>
      <c r="V175" s="115"/>
      <c r="W175" s="115"/>
      <c r="X175" s="115"/>
    </row>
    <row r="176" spans="1:24" s="74" customFormat="1" ht="42.75" x14ac:dyDescent="0.25">
      <c r="A176" s="242" t="s">
        <v>329</v>
      </c>
      <c r="B176" s="28" t="s">
        <v>67</v>
      </c>
      <c r="C176" s="199" t="s">
        <v>251</v>
      </c>
      <c r="D176" s="73" t="s">
        <v>68</v>
      </c>
      <c r="E176" s="193" t="s">
        <v>112</v>
      </c>
      <c r="F176" s="116">
        <v>1</v>
      </c>
      <c r="G176" s="83">
        <v>508.59</v>
      </c>
      <c r="H176" s="83">
        <v>149.34</v>
      </c>
      <c r="I176" s="31">
        <f>G176+H176</f>
        <v>657.93</v>
      </c>
      <c r="J176" s="113">
        <f t="shared" ref="J176:J179" si="97">G176*F176</f>
        <v>508.59</v>
      </c>
      <c r="K176" s="113">
        <f t="shared" ref="K176:K179" si="98">H176*F176</f>
        <v>149.34</v>
      </c>
      <c r="L176" s="113">
        <v>20</v>
      </c>
      <c r="M176" s="113">
        <f t="shared" ref="M176:M179" si="99">J176*L176/100</f>
        <v>101.71799999999999</v>
      </c>
      <c r="N176" s="113">
        <f t="shared" ref="N176:N179" si="100">K176*L176/100</f>
        <v>29.868000000000002</v>
      </c>
      <c r="O176" s="113">
        <f t="shared" ref="O176:O179" si="101">M176+N176</f>
        <v>131.58599999999998</v>
      </c>
      <c r="P176" s="140">
        <f t="shared" ref="P176:P179" si="102">J176+K176+O176</f>
        <v>789.51599999999996</v>
      </c>
      <c r="Q176" s="114"/>
      <c r="R176" s="115"/>
      <c r="S176" s="115"/>
      <c r="T176" s="115"/>
      <c r="U176" s="115"/>
      <c r="V176" s="115"/>
      <c r="W176" s="115"/>
      <c r="X176" s="115"/>
    </row>
    <row r="177" spans="1:24" s="74" customFormat="1" ht="35.25" customHeight="1" x14ac:dyDescent="0.25">
      <c r="A177" s="242" t="s">
        <v>330</v>
      </c>
      <c r="B177" s="215" t="s">
        <v>293</v>
      </c>
      <c r="C177" s="199" t="s">
        <v>251</v>
      </c>
      <c r="D177" s="84" t="s">
        <v>294</v>
      </c>
      <c r="E177" s="193" t="s">
        <v>95</v>
      </c>
      <c r="F177" s="116">
        <f>9.6+6.55</f>
        <v>16.149999999999999</v>
      </c>
      <c r="G177" s="83">
        <v>51.35</v>
      </c>
      <c r="H177" s="83">
        <v>24.12</v>
      </c>
      <c r="I177" s="31">
        <f t="shared" ref="I177" si="103">G177+H177</f>
        <v>75.47</v>
      </c>
      <c r="J177" s="113">
        <f t="shared" ref="J177" si="104">G177*F177</f>
        <v>829.3024999999999</v>
      </c>
      <c r="K177" s="113">
        <f t="shared" ref="K177" si="105">H177*F177</f>
        <v>389.53799999999995</v>
      </c>
      <c r="L177" s="113">
        <v>20</v>
      </c>
      <c r="M177" s="113">
        <f t="shared" ref="M177" si="106">J177*L177/100</f>
        <v>165.8605</v>
      </c>
      <c r="N177" s="113">
        <f t="shared" ref="N177" si="107">K177*L177/100</f>
        <v>77.907599999999988</v>
      </c>
      <c r="O177" s="113">
        <f t="shared" ref="O177" si="108">M177+N177</f>
        <v>243.7681</v>
      </c>
      <c r="P177" s="140">
        <f t="shared" ref="P177" si="109">J177+K177+O177</f>
        <v>1462.6085999999998</v>
      </c>
      <c r="Q177" s="114"/>
      <c r="R177" s="115"/>
      <c r="S177" s="115"/>
      <c r="T177" s="115"/>
      <c r="U177" s="115"/>
      <c r="V177" s="115"/>
      <c r="W177" s="115"/>
      <c r="X177" s="115"/>
    </row>
    <row r="178" spans="1:24" s="74" customFormat="1" ht="35.25" customHeight="1" x14ac:dyDescent="0.25">
      <c r="A178" s="242" t="s">
        <v>331</v>
      </c>
      <c r="B178" s="215" t="s">
        <v>110</v>
      </c>
      <c r="C178" s="199" t="s">
        <v>251</v>
      </c>
      <c r="D178" s="84" t="s">
        <v>111</v>
      </c>
      <c r="E178" s="193" t="s">
        <v>95</v>
      </c>
      <c r="F178" s="116">
        <v>90</v>
      </c>
      <c r="G178" s="83">
        <v>6.43</v>
      </c>
      <c r="H178" s="83">
        <v>2</v>
      </c>
      <c r="I178" s="31">
        <f t="shared" ref="I178:I179" si="110">G178+H178</f>
        <v>8.43</v>
      </c>
      <c r="J178" s="113">
        <f t="shared" si="97"/>
        <v>578.69999999999993</v>
      </c>
      <c r="K178" s="113">
        <f t="shared" si="98"/>
        <v>180</v>
      </c>
      <c r="L178" s="113">
        <v>20</v>
      </c>
      <c r="M178" s="113">
        <f t="shared" si="99"/>
        <v>115.73999999999998</v>
      </c>
      <c r="N178" s="113">
        <f t="shared" si="100"/>
        <v>36</v>
      </c>
      <c r="O178" s="113">
        <f t="shared" si="101"/>
        <v>151.73999999999998</v>
      </c>
      <c r="P178" s="140">
        <f t="shared" si="102"/>
        <v>910.43999999999994</v>
      </c>
      <c r="Q178" s="114"/>
      <c r="R178" s="115"/>
      <c r="S178" s="115"/>
      <c r="T178" s="115"/>
      <c r="U178" s="115"/>
      <c r="V178" s="115"/>
      <c r="W178" s="115"/>
      <c r="X178" s="115"/>
    </row>
    <row r="179" spans="1:24" s="74" customFormat="1" ht="24" customHeight="1" x14ac:dyDescent="0.25">
      <c r="A179" s="242" t="s">
        <v>332</v>
      </c>
      <c r="B179" s="28" t="s">
        <v>69</v>
      </c>
      <c r="C179" s="199" t="s">
        <v>251</v>
      </c>
      <c r="D179" s="84" t="s">
        <v>70</v>
      </c>
      <c r="E179" s="193" t="s">
        <v>112</v>
      </c>
      <c r="F179" s="116">
        <v>34</v>
      </c>
      <c r="G179" s="83">
        <v>3.22</v>
      </c>
      <c r="H179" s="83">
        <v>12.51</v>
      </c>
      <c r="I179" s="31">
        <f t="shared" si="110"/>
        <v>15.73</v>
      </c>
      <c r="J179" s="113">
        <f t="shared" si="97"/>
        <v>109.48</v>
      </c>
      <c r="K179" s="113">
        <f t="shared" si="98"/>
        <v>425.34</v>
      </c>
      <c r="L179" s="113">
        <v>20</v>
      </c>
      <c r="M179" s="113">
        <f t="shared" si="99"/>
        <v>21.896000000000001</v>
      </c>
      <c r="N179" s="113">
        <f t="shared" si="100"/>
        <v>85.067999999999998</v>
      </c>
      <c r="O179" s="113">
        <f t="shared" si="101"/>
        <v>106.964</v>
      </c>
      <c r="P179" s="140">
        <f t="shared" si="102"/>
        <v>641.78399999999988</v>
      </c>
      <c r="Q179" s="114"/>
      <c r="R179" s="115"/>
      <c r="S179" s="115"/>
      <c r="T179" s="115"/>
      <c r="U179" s="115"/>
      <c r="V179" s="115"/>
      <c r="W179" s="115"/>
      <c r="X179" s="115"/>
    </row>
    <row r="180" spans="1:24" s="74" customFormat="1" ht="24" customHeight="1" x14ac:dyDescent="0.25">
      <c r="A180" s="142"/>
      <c r="B180" s="118"/>
      <c r="C180" s="118"/>
      <c r="D180" s="119" t="s">
        <v>204</v>
      </c>
      <c r="E180" s="118"/>
      <c r="F180" s="120"/>
      <c r="G180" s="120"/>
      <c r="H180" s="120"/>
      <c r="I180" s="120"/>
      <c r="J180" s="121">
        <f>SUM(J176:J179)</f>
        <v>2026.0724999999998</v>
      </c>
      <c r="K180" s="121">
        <f>SUM(K176:K179)</f>
        <v>1144.2179999999998</v>
      </c>
      <c r="L180" s="121"/>
      <c r="M180" s="121">
        <f>SUM(M176:M179)</f>
        <v>405.21449999999999</v>
      </c>
      <c r="N180" s="121">
        <f>SUM(N176:N179)</f>
        <v>228.84359999999998</v>
      </c>
      <c r="O180" s="121">
        <f>SUM(O176:O179)</f>
        <v>634.05809999999997</v>
      </c>
      <c r="P180" s="143">
        <f>SUM(P176:P179)</f>
        <v>3804.3485999999994</v>
      </c>
      <c r="Q180" s="114"/>
      <c r="R180" s="115"/>
      <c r="S180" s="115"/>
      <c r="T180" s="115"/>
      <c r="U180" s="115"/>
      <c r="V180" s="115"/>
      <c r="W180" s="115"/>
      <c r="X180" s="115"/>
    </row>
    <row r="181" spans="1:24" s="74" customFormat="1" ht="5.0999999999999996" customHeight="1" x14ac:dyDescent="0.25">
      <c r="A181" s="269"/>
      <c r="B181" s="17"/>
      <c r="C181" s="17"/>
      <c r="D181" s="270"/>
      <c r="E181" s="270"/>
      <c r="F181" s="271"/>
      <c r="G181" s="271"/>
      <c r="H181" s="271"/>
      <c r="I181" s="271"/>
      <c r="J181" s="272"/>
      <c r="K181" s="272"/>
      <c r="L181" s="272"/>
      <c r="M181" s="272"/>
      <c r="N181" s="272"/>
      <c r="O181" s="272"/>
      <c r="P181" s="273"/>
      <c r="Q181" s="114"/>
      <c r="R181" s="115"/>
      <c r="S181" s="115"/>
      <c r="T181" s="115"/>
      <c r="U181" s="115"/>
      <c r="V181" s="115"/>
      <c r="W181" s="115"/>
      <c r="X181" s="115"/>
    </row>
    <row r="182" spans="1:24" s="74" customFormat="1" ht="24" customHeight="1" x14ac:dyDescent="0.25">
      <c r="A182" s="146">
        <v>9</v>
      </c>
      <c r="B182" s="130"/>
      <c r="C182" s="294" t="s">
        <v>113</v>
      </c>
      <c r="D182" s="294" t="s">
        <v>58</v>
      </c>
      <c r="E182" s="294"/>
      <c r="F182" s="294"/>
      <c r="G182" s="294"/>
      <c r="H182" s="294"/>
      <c r="I182" s="294"/>
      <c r="J182" s="294"/>
      <c r="K182" s="267"/>
      <c r="L182" s="266"/>
      <c r="M182" s="130"/>
      <c r="N182" s="130"/>
      <c r="O182" s="130"/>
      <c r="P182" s="147"/>
      <c r="Q182" s="26"/>
    </row>
    <row r="183" spans="1:24" s="74" customFormat="1" ht="28.5" x14ac:dyDescent="0.25">
      <c r="A183" s="241" t="s">
        <v>333</v>
      </c>
      <c r="B183" s="122" t="s">
        <v>114</v>
      </c>
      <c r="C183" s="198" t="s">
        <v>251</v>
      </c>
      <c r="D183" s="134" t="s">
        <v>222</v>
      </c>
      <c r="E183" s="122" t="s">
        <v>18</v>
      </c>
      <c r="F183" s="124">
        <f>M79</f>
        <v>2.6999999999999997</v>
      </c>
      <c r="G183" s="125">
        <v>238.03</v>
      </c>
      <c r="H183" s="125">
        <v>67.73</v>
      </c>
      <c r="I183" s="124">
        <f t="shared" ref="I183:I186" si="111">G183+H183</f>
        <v>305.76</v>
      </c>
      <c r="J183" s="126">
        <f t="shared" ref="J183:J186" si="112">G183*F183</f>
        <v>642.68099999999993</v>
      </c>
      <c r="K183" s="126">
        <f t="shared" ref="K183:K186" si="113">H183*F183</f>
        <v>182.87099999999998</v>
      </c>
      <c r="L183" s="126">
        <v>20</v>
      </c>
      <c r="M183" s="126">
        <f t="shared" ref="M183:M186" si="114">J183*L183/100</f>
        <v>128.53619999999998</v>
      </c>
      <c r="N183" s="126">
        <f t="shared" ref="N183:N186" si="115">K183*L183/100</f>
        <v>36.574199999999998</v>
      </c>
      <c r="O183" s="126">
        <f t="shared" ref="O183:O186" si="116">M183+N183</f>
        <v>165.11039999999997</v>
      </c>
      <c r="P183" s="139">
        <f t="shared" ref="P183:P186" si="117">J183+K183+O183</f>
        <v>990.66239999999993</v>
      </c>
      <c r="Q183" s="114"/>
      <c r="R183" s="115"/>
      <c r="S183" s="115"/>
      <c r="T183" s="115"/>
      <c r="U183" s="115"/>
      <c r="V183" s="115"/>
      <c r="W183" s="115"/>
      <c r="X183" s="115"/>
    </row>
    <row r="184" spans="1:24" s="74" customFormat="1" ht="14.25" x14ac:dyDescent="0.25">
      <c r="A184" s="242" t="s">
        <v>334</v>
      </c>
      <c r="B184" s="217" t="s">
        <v>292</v>
      </c>
      <c r="C184" s="199" t="s">
        <v>251</v>
      </c>
      <c r="D184" s="84" t="s">
        <v>291</v>
      </c>
      <c r="E184" s="201" t="s">
        <v>280</v>
      </c>
      <c r="F184" s="31">
        <f>M74</f>
        <v>1.8900000000000001</v>
      </c>
      <c r="G184" s="83">
        <v>254.49</v>
      </c>
      <c r="H184" s="83">
        <v>34.14</v>
      </c>
      <c r="I184" s="31">
        <f t="shared" si="111"/>
        <v>288.63</v>
      </c>
      <c r="J184" s="113">
        <f t="shared" si="112"/>
        <v>480.98610000000002</v>
      </c>
      <c r="K184" s="113">
        <f t="shared" si="113"/>
        <v>64.524600000000007</v>
      </c>
      <c r="L184" s="113">
        <v>20</v>
      </c>
      <c r="M184" s="113">
        <f t="shared" si="114"/>
        <v>96.197220000000002</v>
      </c>
      <c r="N184" s="113">
        <f t="shared" si="115"/>
        <v>12.904920000000002</v>
      </c>
      <c r="O184" s="113">
        <f t="shared" si="116"/>
        <v>109.10214000000001</v>
      </c>
      <c r="P184" s="140">
        <f t="shared" si="117"/>
        <v>654.61284000000001</v>
      </c>
      <c r="Q184" s="114"/>
      <c r="R184" s="115"/>
      <c r="S184" s="115"/>
      <c r="T184" s="115"/>
      <c r="U184" s="115"/>
      <c r="V184" s="115"/>
      <c r="W184" s="115"/>
      <c r="X184" s="115"/>
    </row>
    <row r="185" spans="1:24" s="74" customFormat="1" ht="28.5" x14ac:dyDescent="0.25">
      <c r="A185" s="244" t="s">
        <v>335</v>
      </c>
      <c r="B185" s="217" t="s">
        <v>285</v>
      </c>
      <c r="C185" s="199" t="s">
        <v>251</v>
      </c>
      <c r="D185" s="84" t="s">
        <v>287</v>
      </c>
      <c r="E185" s="201" t="s">
        <v>289</v>
      </c>
      <c r="F185" s="31">
        <v>1</v>
      </c>
      <c r="G185" s="83">
        <v>321.49</v>
      </c>
      <c r="H185" s="83">
        <v>67.73</v>
      </c>
      <c r="I185" s="31">
        <f t="shared" si="111"/>
        <v>389.22</v>
      </c>
      <c r="J185" s="113">
        <f t="shared" si="112"/>
        <v>321.49</v>
      </c>
      <c r="K185" s="113">
        <f t="shared" si="113"/>
        <v>67.73</v>
      </c>
      <c r="L185" s="113">
        <v>20</v>
      </c>
      <c r="M185" s="113">
        <f t="shared" si="114"/>
        <v>64.298000000000002</v>
      </c>
      <c r="N185" s="113">
        <f t="shared" si="115"/>
        <v>13.546000000000001</v>
      </c>
      <c r="O185" s="113">
        <f t="shared" si="116"/>
        <v>77.844000000000008</v>
      </c>
      <c r="P185" s="140">
        <f t="shared" si="117"/>
        <v>467.06400000000002</v>
      </c>
      <c r="Q185" s="114"/>
      <c r="R185" s="115"/>
      <c r="S185" s="115"/>
      <c r="T185" s="115"/>
      <c r="U185" s="115"/>
      <c r="V185" s="115"/>
      <c r="W185" s="115"/>
      <c r="X185" s="115"/>
    </row>
    <row r="186" spans="1:24" s="74" customFormat="1" ht="14.25" x14ac:dyDescent="0.25">
      <c r="A186" s="242" t="s">
        <v>336</v>
      </c>
      <c r="B186" s="217" t="s">
        <v>286</v>
      </c>
      <c r="C186" s="199" t="s">
        <v>251</v>
      </c>
      <c r="D186" s="84" t="s">
        <v>288</v>
      </c>
      <c r="E186" s="201" t="s">
        <v>290</v>
      </c>
      <c r="F186" s="31">
        <v>1</v>
      </c>
      <c r="G186" s="83">
        <v>178.71</v>
      </c>
      <c r="H186" s="83">
        <v>9</v>
      </c>
      <c r="I186" s="31">
        <f t="shared" si="111"/>
        <v>187.71</v>
      </c>
      <c r="J186" s="113">
        <f t="shared" si="112"/>
        <v>178.71</v>
      </c>
      <c r="K186" s="113">
        <f t="shared" si="113"/>
        <v>9</v>
      </c>
      <c r="L186" s="113">
        <v>20</v>
      </c>
      <c r="M186" s="113">
        <f t="shared" si="114"/>
        <v>35.742000000000004</v>
      </c>
      <c r="N186" s="113">
        <f t="shared" si="115"/>
        <v>1.8</v>
      </c>
      <c r="O186" s="113">
        <f t="shared" si="116"/>
        <v>37.542000000000002</v>
      </c>
      <c r="P186" s="140">
        <f t="shared" si="117"/>
        <v>225.25200000000001</v>
      </c>
      <c r="Q186" s="114"/>
      <c r="R186" s="115"/>
      <c r="S186" s="115"/>
      <c r="T186" s="115"/>
      <c r="U186" s="115"/>
      <c r="V186" s="115"/>
      <c r="W186" s="115"/>
      <c r="X186" s="115"/>
    </row>
    <row r="187" spans="1:24" s="74" customFormat="1" ht="28.5" x14ac:dyDescent="0.25">
      <c r="A187" s="244" t="s">
        <v>368</v>
      </c>
      <c r="B187" s="29" t="s">
        <v>114</v>
      </c>
      <c r="C187" s="199" t="s">
        <v>251</v>
      </c>
      <c r="D187" s="84" t="s">
        <v>222</v>
      </c>
      <c r="E187" s="29" t="s">
        <v>18</v>
      </c>
      <c r="F187" s="31">
        <f>M78</f>
        <v>1</v>
      </c>
      <c r="G187" s="83">
        <v>238.03</v>
      </c>
      <c r="H187" s="83">
        <v>67.73</v>
      </c>
      <c r="I187" s="31">
        <f t="shared" ref="I187:I190" si="118">G187+H187</f>
        <v>305.76</v>
      </c>
      <c r="J187" s="113">
        <f t="shared" ref="J187:J190" si="119">G187*F187</f>
        <v>238.03</v>
      </c>
      <c r="K187" s="113">
        <f t="shared" ref="K187:K190" si="120">H187*F187</f>
        <v>67.73</v>
      </c>
      <c r="L187" s="113">
        <v>20</v>
      </c>
      <c r="M187" s="113">
        <f t="shared" ref="M187:M190" si="121">J187*L187/100</f>
        <v>47.606000000000002</v>
      </c>
      <c r="N187" s="113">
        <f t="shared" ref="N187:N190" si="122">K187*L187/100</f>
        <v>13.546000000000001</v>
      </c>
      <c r="O187" s="113">
        <f t="shared" ref="O187:O190" si="123">M187+N187</f>
        <v>61.152000000000001</v>
      </c>
      <c r="P187" s="140">
        <f t="shared" ref="P187:P190" si="124">J187+K187+O187</f>
        <v>366.91199999999998</v>
      </c>
      <c r="Q187" s="114"/>
      <c r="R187" s="115"/>
      <c r="S187" s="115"/>
      <c r="T187" s="115"/>
      <c r="U187" s="115"/>
      <c r="V187" s="115"/>
      <c r="W187" s="115"/>
      <c r="X187" s="115"/>
    </row>
    <row r="188" spans="1:24" s="74" customFormat="1" ht="57" x14ac:dyDescent="0.25">
      <c r="A188" s="242" t="s">
        <v>369</v>
      </c>
      <c r="B188" s="215" t="s">
        <v>115</v>
      </c>
      <c r="C188" s="199" t="s">
        <v>251</v>
      </c>
      <c r="D188" s="84" t="s">
        <v>116</v>
      </c>
      <c r="E188" s="29" t="s">
        <v>112</v>
      </c>
      <c r="F188" s="31">
        <v>4</v>
      </c>
      <c r="G188" s="83">
        <v>610.76</v>
      </c>
      <c r="H188" s="83">
        <v>0</v>
      </c>
      <c r="I188" s="31">
        <f t="shared" si="118"/>
        <v>610.76</v>
      </c>
      <c r="J188" s="113">
        <f t="shared" si="119"/>
        <v>2443.04</v>
      </c>
      <c r="K188" s="113">
        <f t="shared" si="120"/>
        <v>0</v>
      </c>
      <c r="L188" s="113">
        <v>20</v>
      </c>
      <c r="M188" s="113">
        <f t="shared" si="121"/>
        <v>488.608</v>
      </c>
      <c r="N188" s="113">
        <f t="shared" si="122"/>
        <v>0</v>
      </c>
      <c r="O188" s="113">
        <f t="shared" si="123"/>
        <v>488.608</v>
      </c>
      <c r="P188" s="140">
        <f t="shared" si="124"/>
        <v>2931.6480000000001</v>
      </c>
      <c r="Q188" s="114"/>
      <c r="R188" s="115"/>
      <c r="S188" s="115"/>
      <c r="T188" s="115"/>
      <c r="U188" s="115"/>
      <c r="V188" s="115"/>
      <c r="W188" s="115"/>
      <c r="X188" s="115"/>
    </row>
    <row r="189" spans="1:24" s="74" customFormat="1" ht="71.25" x14ac:dyDescent="0.25">
      <c r="A189" s="244" t="s">
        <v>370</v>
      </c>
      <c r="B189" s="215" t="s">
        <v>230</v>
      </c>
      <c r="C189" s="199" t="s">
        <v>251</v>
      </c>
      <c r="D189" s="73" t="s">
        <v>232</v>
      </c>
      <c r="E189" s="29" t="s">
        <v>112</v>
      </c>
      <c r="F189" s="31">
        <f>J76</f>
        <v>1</v>
      </c>
      <c r="G189" s="83">
        <v>864.49</v>
      </c>
      <c r="H189" s="83">
        <v>0</v>
      </c>
      <c r="I189" s="31">
        <f t="shared" ref="I189" si="125">G189+H189</f>
        <v>864.49</v>
      </c>
      <c r="J189" s="113">
        <f t="shared" ref="J189" si="126">G189*F189</f>
        <v>864.49</v>
      </c>
      <c r="K189" s="113">
        <f t="shared" ref="K189" si="127">H189*F189</f>
        <v>0</v>
      </c>
      <c r="L189" s="113">
        <v>20</v>
      </c>
      <c r="M189" s="113">
        <f t="shared" ref="M189" si="128">J189*L189/100</f>
        <v>172.898</v>
      </c>
      <c r="N189" s="113">
        <f t="shared" ref="N189" si="129">K189*L189/100</f>
        <v>0</v>
      </c>
      <c r="O189" s="113">
        <f t="shared" ref="O189" si="130">M189+N189</f>
        <v>172.898</v>
      </c>
      <c r="P189" s="140">
        <f t="shared" ref="P189" si="131">J189+K189+O189</f>
        <v>1037.3879999999999</v>
      </c>
      <c r="Q189" s="114"/>
      <c r="R189" s="115"/>
      <c r="S189" s="115"/>
      <c r="T189" s="115"/>
      <c r="U189" s="115"/>
      <c r="V189" s="115"/>
      <c r="W189" s="115"/>
      <c r="X189" s="115"/>
    </row>
    <row r="190" spans="1:24" s="74" customFormat="1" ht="24" customHeight="1" x14ac:dyDescent="0.25">
      <c r="A190" s="243" t="s">
        <v>371</v>
      </c>
      <c r="B190" s="218" t="s">
        <v>117</v>
      </c>
      <c r="C190" s="205" t="s">
        <v>251</v>
      </c>
      <c r="D190" s="132" t="s">
        <v>118</v>
      </c>
      <c r="E190" s="129" t="s">
        <v>95</v>
      </c>
      <c r="F190" s="132">
        <f>M77</f>
        <v>51.599999999999994</v>
      </c>
      <c r="G190" s="133">
        <v>6.69</v>
      </c>
      <c r="H190" s="133">
        <v>2.2599999999999998</v>
      </c>
      <c r="I190" s="132">
        <f t="shared" si="118"/>
        <v>8.9499999999999993</v>
      </c>
      <c r="J190" s="129">
        <f t="shared" si="119"/>
        <v>345.20400000000001</v>
      </c>
      <c r="K190" s="129">
        <f t="shared" si="120"/>
        <v>116.61599999999997</v>
      </c>
      <c r="L190" s="129">
        <v>20</v>
      </c>
      <c r="M190" s="129">
        <f t="shared" si="121"/>
        <v>69.040800000000004</v>
      </c>
      <c r="N190" s="129">
        <f t="shared" si="122"/>
        <v>23.323199999999993</v>
      </c>
      <c r="O190" s="129">
        <f t="shared" si="123"/>
        <v>92.364000000000004</v>
      </c>
      <c r="P190" s="141">
        <f t="shared" si="124"/>
        <v>554.18399999999997</v>
      </c>
      <c r="Q190" s="114"/>
      <c r="R190" s="115"/>
      <c r="S190" s="115"/>
      <c r="T190" s="115"/>
      <c r="U190" s="115"/>
      <c r="V190" s="115"/>
      <c r="W190" s="115"/>
      <c r="X190" s="115"/>
    </row>
    <row r="191" spans="1:24" s="74" customFormat="1" ht="24" customHeight="1" x14ac:dyDescent="0.25">
      <c r="A191" s="142"/>
      <c r="B191" s="118"/>
      <c r="C191" s="118"/>
      <c r="D191" s="119" t="s">
        <v>204</v>
      </c>
      <c r="E191" s="119"/>
      <c r="F191" s="120"/>
      <c r="G191" s="120"/>
      <c r="H191" s="120"/>
      <c r="I191" s="120"/>
      <c r="J191" s="121">
        <f>SUM(J183:J190)</f>
        <v>5514.6310999999996</v>
      </c>
      <c r="K191" s="121">
        <f>SUM(K183:K190)</f>
        <v>508.47160000000002</v>
      </c>
      <c r="L191" s="121"/>
      <c r="M191" s="121">
        <f>SUM(M183:M190)</f>
        <v>1102.9262199999998</v>
      </c>
      <c r="N191" s="121">
        <f>SUM(N183:N190)</f>
        <v>101.69432</v>
      </c>
      <c r="O191" s="121">
        <f>SUM(O183:O190)</f>
        <v>1204.6205399999999</v>
      </c>
      <c r="P191" s="143">
        <f>SUM(P183:P190)</f>
        <v>7227.7232399999994</v>
      </c>
      <c r="Q191" s="114"/>
      <c r="R191" s="115"/>
      <c r="S191" s="115"/>
      <c r="T191" s="115"/>
      <c r="U191" s="115"/>
      <c r="V191" s="115"/>
      <c r="W191" s="115"/>
      <c r="X191" s="115"/>
    </row>
    <row r="192" spans="1:24" s="74" customFormat="1" ht="24" customHeight="1" x14ac:dyDescent="0.25">
      <c r="A192" s="144"/>
      <c r="B192" s="26"/>
      <c r="C192" s="26"/>
      <c r="D192" s="27"/>
      <c r="E192" s="27"/>
      <c r="F192" s="27"/>
      <c r="G192" s="27"/>
      <c r="H192" s="27"/>
      <c r="I192" s="27"/>
      <c r="J192" s="26"/>
      <c r="K192" s="26"/>
      <c r="L192" s="26"/>
      <c r="M192" s="26"/>
      <c r="N192" s="26"/>
      <c r="O192" s="26"/>
      <c r="P192" s="149"/>
      <c r="Q192" s="26"/>
    </row>
    <row r="193" spans="1:24" s="74" customFormat="1" ht="24" customHeight="1" x14ac:dyDescent="0.25">
      <c r="A193" s="146">
        <v>10</v>
      </c>
      <c r="B193" s="130"/>
      <c r="C193" s="294" t="s">
        <v>71</v>
      </c>
      <c r="D193" s="294"/>
      <c r="E193" s="294"/>
      <c r="F193" s="294"/>
      <c r="G193" s="294"/>
      <c r="H193" s="294"/>
      <c r="I193" s="294" t="s">
        <v>58</v>
      </c>
      <c r="J193" s="294"/>
      <c r="K193" s="267"/>
      <c r="L193" s="266"/>
      <c r="M193" s="130"/>
      <c r="N193" s="130"/>
      <c r="O193" s="130"/>
      <c r="P193" s="147"/>
      <c r="Q193" s="26"/>
    </row>
    <row r="194" spans="1:24" s="74" customFormat="1" ht="24" x14ac:dyDescent="0.25">
      <c r="A194" s="238" t="s">
        <v>342</v>
      </c>
      <c r="B194" s="122" t="s">
        <v>45</v>
      </c>
      <c r="C194" s="198" t="s">
        <v>251</v>
      </c>
      <c r="D194" s="123" t="s">
        <v>46</v>
      </c>
      <c r="E194" s="122" t="s">
        <v>38</v>
      </c>
      <c r="F194" s="124">
        <f>M53</f>
        <v>2.1338999999999997</v>
      </c>
      <c r="G194" s="124">
        <v>163.25</v>
      </c>
      <c r="H194" s="124">
        <v>30.52</v>
      </c>
      <c r="I194" s="124">
        <f t="shared" ref="I194" si="132">G194+H194</f>
        <v>193.77</v>
      </c>
      <c r="J194" s="126">
        <f t="shared" ref="J194" si="133">G194*F194</f>
        <v>348.35917499999994</v>
      </c>
      <c r="K194" s="126">
        <f>H194*F194</f>
        <v>65.126627999999982</v>
      </c>
      <c r="L194" s="126">
        <v>20</v>
      </c>
      <c r="M194" s="126">
        <f>J194*L194/100</f>
        <v>69.671834999999987</v>
      </c>
      <c r="N194" s="126">
        <f t="shared" ref="N194" si="134">K194*L194/100</f>
        <v>13.025325599999997</v>
      </c>
      <c r="O194" s="126">
        <f t="shared" ref="O194" si="135">M194+N194</f>
        <v>82.697160599999989</v>
      </c>
      <c r="P194" s="139">
        <f t="shared" ref="P194" si="136">J194+K194+O194</f>
        <v>496.18296359999988</v>
      </c>
      <c r="Q194" s="114"/>
      <c r="R194" s="115"/>
      <c r="S194" s="115"/>
      <c r="T194" s="115"/>
      <c r="U194" s="115"/>
      <c r="V194" s="115"/>
      <c r="W194" s="115"/>
      <c r="X194" s="115"/>
    </row>
    <row r="195" spans="1:24" s="74" customFormat="1" ht="24" x14ac:dyDescent="0.25">
      <c r="A195" s="239" t="s">
        <v>343</v>
      </c>
      <c r="B195" s="29" t="s">
        <v>72</v>
      </c>
      <c r="C195" s="199" t="s">
        <v>251</v>
      </c>
      <c r="D195" s="30" t="s">
        <v>74</v>
      </c>
      <c r="E195" s="29" t="s">
        <v>38</v>
      </c>
      <c r="F195" s="31">
        <f>M54</f>
        <v>2.1027499999999999</v>
      </c>
      <c r="G195" s="31">
        <v>436.72</v>
      </c>
      <c r="H195" s="31">
        <v>321.8</v>
      </c>
      <c r="I195" s="31">
        <f t="shared" ref="I195" si="137">G195+H195</f>
        <v>758.52</v>
      </c>
      <c r="J195" s="113">
        <f t="shared" ref="J195" si="138">G195*F195</f>
        <v>918.31298000000004</v>
      </c>
      <c r="K195" s="113">
        <f>H195*F195</f>
        <v>676.66494999999998</v>
      </c>
      <c r="L195" s="113">
        <v>20</v>
      </c>
      <c r="M195" s="113">
        <f>J195*L195/100</f>
        <v>183.66259600000001</v>
      </c>
      <c r="N195" s="113">
        <f t="shared" ref="N195" si="139">K195*L195/100</f>
        <v>135.33299</v>
      </c>
      <c r="O195" s="113">
        <f t="shared" ref="O195" si="140">M195+N195</f>
        <v>318.995586</v>
      </c>
      <c r="P195" s="140">
        <f t="shared" ref="P195" si="141">J195+K195+O195</f>
        <v>1913.973516</v>
      </c>
      <c r="Q195" s="114"/>
      <c r="R195" s="115"/>
      <c r="S195" s="115"/>
      <c r="T195" s="115"/>
      <c r="U195" s="115"/>
      <c r="V195" s="115"/>
      <c r="W195" s="115"/>
      <c r="X195" s="115"/>
    </row>
    <row r="196" spans="1:24" s="74" customFormat="1" ht="42.75" x14ac:dyDescent="0.25">
      <c r="A196" s="239" t="s">
        <v>344</v>
      </c>
      <c r="B196" s="29">
        <v>87878</v>
      </c>
      <c r="C196" s="199" t="s">
        <v>252</v>
      </c>
      <c r="D196" s="30" t="s">
        <v>219</v>
      </c>
      <c r="E196" s="29" t="s">
        <v>18</v>
      </c>
      <c r="F196" s="31">
        <f>M63+M64</f>
        <v>223.2</v>
      </c>
      <c r="G196" s="31">
        <v>2.2799999999999998</v>
      </c>
      <c r="H196" s="31">
        <v>2.99</v>
      </c>
      <c r="I196" s="31">
        <f t="shared" ref="I196" si="142">G196+H196</f>
        <v>5.27</v>
      </c>
      <c r="J196" s="113">
        <f t="shared" ref="J196" si="143">G196*F196</f>
        <v>508.89599999999996</v>
      </c>
      <c r="K196" s="113">
        <f>H196*F196</f>
        <v>667.36800000000005</v>
      </c>
      <c r="L196" s="113">
        <v>20</v>
      </c>
      <c r="M196" s="113">
        <f>J196*L196/100</f>
        <v>101.77919999999999</v>
      </c>
      <c r="N196" s="113">
        <f t="shared" ref="N196" si="144">K196*L196/100</f>
        <v>133.4736</v>
      </c>
      <c r="O196" s="113">
        <f t="shared" ref="O196" si="145">M196+N196</f>
        <v>235.25279999999998</v>
      </c>
      <c r="P196" s="140">
        <f t="shared" ref="P196" si="146">J196+K196+O196</f>
        <v>1411.5168000000001</v>
      </c>
      <c r="Q196" s="114"/>
      <c r="R196" s="115"/>
      <c r="S196" s="115"/>
      <c r="T196" s="115"/>
      <c r="U196" s="115"/>
      <c r="V196" s="115"/>
      <c r="W196" s="115"/>
      <c r="X196" s="115"/>
    </row>
    <row r="197" spans="1:24" s="74" customFormat="1" ht="57" x14ac:dyDescent="0.25">
      <c r="A197" s="239" t="s">
        <v>345</v>
      </c>
      <c r="B197" s="29">
        <v>87547</v>
      </c>
      <c r="C197" s="199" t="s">
        <v>252</v>
      </c>
      <c r="D197" s="30" t="s">
        <v>220</v>
      </c>
      <c r="E197" s="29" t="s">
        <v>18</v>
      </c>
      <c r="F197" s="31">
        <f>M63+M64</f>
        <v>223.2</v>
      </c>
      <c r="G197" s="31">
        <f>0.02+12.26</f>
        <v>12.28</v>
      </c>
      <c r="H197" s="31">
        <v>9.5</v>
      </c>
      <c r="I197" s="31">
        <f t="shared" ref="I197:I204" si="147">G197+H197</f>
        <v>21.78</v>
      </c>
      <c r="J197" s="113">
        <f t="shared" ref="J197:J204" si="148">G197*F197</f>
        <v>2740.8959999999997</v>
      </c>
      <c r="K197" s="113">
        <f t="shared" ref="K197:K204" si="149">H197*F197</f>
        <v>2120.4</v>
      </c>
      <c r="L197" s="113">
        <v>20</v>
      </c>
      <c r="M197" s="113">
        <f t="shared" ref="M197:M204" si="150">J197*L197/100</f>
        <v>548.17920000000004</v>
      </c>
      <c r="N197" s="113">
        <f t="shared" ref="N197:N204" si="151">K197*L197/100</f>
        <v>424.08</v>
      </c>
      <c r="O197" s="113">
        <f t="shared" ref="O197:O204" si="152">M197+N197</f>
        <v>972.25919999999996</v>
      </c>
      <c r="P197" s="140">
        <f t="shared" ref="P197:P203" si="153">J197+K197+O197</f>
        <v>5833.5552000000007</v>
      </c>
      <c r="Q197" s="114"/>
      <c r="R197" s="115"/>
      <c r="S197" s="115"/>
      <c r="T197" s="115"/>
      <c r="U197" s="115"/>
      <c r="V197" s="115"/>
      <c r="W197" s="115"/>
      <c r="X197" s="115"/>
    </row>
    <row r="198" spans="1:24" s="74" customFormat="1" ht="42.75" x14ac:dyDescent="0.25">
      <c r="A198" s="239" t="s">
        <v>346</v>
      </c>
      <c r="B198" s="29" t="s">
        <v>73</v>
      </c>
      <c r="C198" s="199" t="s">
        <v>251</v>
      </c>
      <c r="D198" s="30" t="s">
        <v>75</v>
      </c>
      <c r="E198" s="29" t="s">
        <v>18</v>
      </c>
      <c r="F198" s="31">
        <f>M55</f>
        <v>65.67</v>
      </c>
      <c r="G198" s="31">
        <v>31.99</v>
      </c>
      <c r="H198" s="31">
        <v>15.39</v>
      </c>
      <c r="I198" s="31">
        <f t="shared" ref="I198:I201" si="154">G198+H198</f>
        <v>47.379999999999995</v>
      </c>
      <c r="J198" s="113">
        <f t="shared" ref="J198:J201" si="155">G198*F198</f>
        <v>2100.7833000000001</v>
      </c>
      <c r="K198" s="113">
        <f t="shared" ref="K198:K201" si="156">H198*F198</f>
        <v>1010.6613000000001</v>
      </c>
      <c r="L198" s="113">
        <v>20</v>
      </c>
      <c r="M198" s="113">
        <f t="shared" ref="M198:M201" si="157">J198*L198/100</f>
        <v>420.15665999999999</v>
      </c>
      <c r="N198" s="113">
        <f t="shared" ref="N198:N201" si="158">K198*L198/100</f>
        <v>202.13226000000003</v>
      </c>
      <c r="O198" s="113">
        <f t="shared" ref="O198:O201" si="159">M198+N198</f>
        <v>622.28891999999996</v>
      </c>
      <c r="P198" s="140">
        <f t="shared" ref="P198:P201" si="160">J198+K198+O198</f>
        <v>3733.7335200000002</v>
      </c>
      <c r="Q198" s="114"/>
      <c r="R198" s="115"/>
      <c r="S198" s="115"/>
      <c r="T198" s="115"/>
      <c r="U198" s="115"/>
      <c r="V198" s="115"/>
      <c r="W198" s="115"/>
      <c r="X198" s="115"/>
    </row>
    <row r="199" spans="1:24" s="74" customFormat="1" ht="57" x14ac:dyDescent="0.25">
      <c r="A199" s="239" t="s">
        <v>347</v>
      </c>
      <c r="B199" s="29" t="s">
        <v>77</v>
      </c>
      <c r="C199" s="199" t="s">
        <v>251</v>
      </c>
      <c r="D199" s="30" t="s">
        <v>76</v>
      </c>
      <c r="E199" s="29" t="s">
        <v>95</v>
      </c>
      <c r="F199" s="31">
        <f>M59</f>
        <v>37.119999999999997</v>
      </c>
      <c r="G199" s="31">
        <v>5.27</v>
      </c>
      <c r="H199" s="31">
        <v>1.23</v>
      </c>
      <c r="I199" s="31">
        <f t="shared" si="154"/>
        <v>6.5</v>
      </c>
      <c r="J199" s="113">
        <f t="shared" si="155"/>
        <v>195.62239999999997</v>
      </c>
      <c r="K199" s="113">
        <f t="shared" si="156"/>
        <v>45.657599999999995</v>
      </c>
      <c r="L199" s="113">
        <v>20</v>
      </c>
      <c r="M199" s="113">
        <f t="shared" si="157"/>
        <v>39.124479999999991</v>
      </c>
      <c r="N199" s="113">
        <f t="shared" si="158"/>
        <v>9.1315200000000001</v>
      </c>
      <c r="O199" s="113">
        <f t="shared" si="159"/>
        <v>48.255999999999993</v>
      </c>
      <c r="P199" s="140">
        <f t="shared" si="160"/>
        <v>289.53599999999994</v>
      </c>
      <c r="Q199" s="114"/>
      <c r="R199" s="115"/>
      <c r="S199" s="115"/>
      <c r="T199" s="115"/>
      <c r="U199" s="115"/>
      <c r="V199" s="115"/>
      <c r="W199" s="115"/>
      <c r="X199" s="115"/>
    </row>
    <row r="200" spans="1:24" s="74" customFormat="1" ht="28.5" x14ac:dyDescent="0.25">
      <c r="A200" s="239" t="s">
        <v>348</v>
      </c>
      <c r="B200" s="29" t="s">
        <v>96</v>
      </c>
      <c r="C200" s="199" t="s">
        <v>251</v>
      </c>
      <c r="D200" s="30" t="s">
        <v>97</v>
      </c>
      <c r="E200" s="29" t="s">
        <v>18</v>
      </c>
      <c r="F200" s="31">
        <f>F198</f>
        <v>65.67</v>
      </c>
      <c r="G200" s="31">
        <v>1.18</v>
      </c>
      <c r="H200" s="31">
        <v>10.27</v>
      </c>
      <c r="I200" s="31">
        <f t="shared" si="154"/>
        <v>11.45</v>
      </c>
      <c r="J200" s="113">
        <f t="shared" si="155"/>
        <v>77.490600000000001</v>
      </c>
      <c r="K200" s="113">
        <f t="shared" si="156"/>
        <v>674.43089999999995</v>
      </c>
      <c r="L200" s="113">
        <v>20</v>
      </c>
      <c r="M200" s="113">
        <f t="shared" si="157"/>
        <v>15.498119999999998</v>
      </c>
      <c r="N200" s="113">
        <f t="shared" si="158"/>
        <v>134.88618</v>
      </c>
      <c r="O200" s="113">
        <f t="shared" si="159"/>
        <v>150.3843</v>
      </c>
      <c r="P200" s="140">
        <f t="shared" si="160"/>
        <v>902.30579999999986</v>
      </c>
      <c r="Q200" s="114"/>
      <c r="R200" s="115"/>
      <c r="S200" s="115"/>
      <c r="T200" s="115"/>
      <c r="U200" s="115"/>
      <c r="V200" s="115"/>
      <c r="W200" s="115"/>
      <c r="X200" s="115"/>
    </row>
    <row r="201" spans="1:24" s="74" customFormat="1" ht="42.75" x14ac:dyDescent="0.25">
      <c r="A201" s="239" t="s">
        <v>349</v>
      </c>
      <c r="B201" s="29" t="s">
        <v>374</v>
      </c>
      <c r="C201" s="199" t="s">
        <v>251</v>
      </c>
      <c r="D201" s="30" t="s">
        <v>375</v>
      </c>
      <c r="E201" s="29" t="s">
        <v>95</v>
      </c>
      <c r="F201" s="31">
        <f>F199</f>
        <v>37.119999999999997</v>
      </c>
      <c r="G201" s="31">
        <v>0.12</v>
      </c>
      <c r="H201" s="31">
        <v>1.1499999999999999</v>
      </c>
      <c r="I201" s="31">
        <f t="shared" si="154"/>
        <v>1.27</v>
      </c>
      <c r="J201" s="113">
        <f t="shared" si="155"/>
        <v>4.4543999999999997</v>
      </c>
      <c r="K201" s="113">
        <f t="shared" si="156"/>
        <v>42.687999999999995</v>
      </c>
      <c r="L201" s="113">
        <v>20</v>
      </c>
      <c r="M201" s="113">
        <f t="shared" si="157"/>
        <v>0.89087999999999989</v>
      </c>
      <c r="N201" s="113">
        <f t="shared" si="158"/>
        <v>8.5375999999999994</v>
      </c>
      <c r="O201" s="113">
        <f t="shared" si="159"/>
        <v>9.4284799999999986</v>
      </c>
      <c r="P201" s="140">
        <f t="shared" si="160"/>
        <v>56.570879999999995</v>
      </c>
      <c r="Q201" s="114"/>
      <c r="R201" s="115"/>
      <c r="S201" s="115"/>
      <c r="T201" s="115"/>
      <c r="U201" s="115"/>
      <c r="V201" s="115"/>
      <c r="W201" s="115"/>
      <c r="X201" s="115"/>
    </row>
    <row r="202" spans="1:24" s="74" customFormat="1" ht="28.5" x14ac:dyDescent="0.25">
      <c r="A202" s="239" t="s">
        <v>348</v>
      </c>
      <c r="B202" s="29">
        <v>98689</v>
      </c>
      <c r="C202" s="199" t="s">
        <v>252</v>
      </c>
      <c r="D202" s="30" t="s">
        <v>337</v>
      </c>
      <c r="E202" s="29" t="s">
        <v>95</v>
      </c>
      <c r="F202" s="31">
        <f>M60</f>
        <v>1.8</v>
      </c>
      <c r="G202" s="31">
        <v>104.67</v>
      </c>
      <c r="H202" s="31">
        <v>18.97</v>
      </c>
      <c r="I202" s="31">
        <f t="shared" si="147"/>
        <v>123.64</v>
      </c>
      <c r="J202" s="113">
        <f t="shared" si="148"/>
        <v>188.40600000000001</v>
      </c>
      <c r="K202" s="113">
        <f t="shared" si="149"/>
        <v>34.146000000000001</v>
      </c>
      <c r="L202" s="113">
        <v>20</v>
      </c>
      <c r="M202" s="113">
        <f t="shared" si="150"/>
        <v>37.681199999999997</v>
      </c>
      <c r="N202" s="113">
        <f t="shared" si="151"/>
        <v>6.829200000000001</v>
      </c>
      <c r="O202" s="113">
        <f t="shared" si="152"/>
        <v>44.510399999999997</v>
      </c>
      <c r="P202" s="140">
        <f t="shared" si="153"/>
        <v>267.06240000000003</v>
      </c>
      <c r="Q202" s="114"/>
      <c r="R202" s="115"/>
      <c r="S202" s="115"/>
      <c r="T202" s="115"/>
      <c r="U202" s="115"/>
      <c r="V202" s="115"/>
      <c r="W202" s="115"/>
      <c r="X202" s="115"/>
    </row>
    <row r="203" spans="1:24" s="74" customFormat="1" ht="42.75" x14ac:dyDescent="0.25">
      <c r="A203" s="239" t="s">
        <v>349</v>
      </c>
      <c r="B203" s="29">
        <v>101965</v>
      </c>
      <c r="C203" s="199" t="s">
        <v>252</v>
      </c>
      <c r="D203" s="30" t="s">
        <v>338</v>
      </c>
      <c r="E203" s="29" t="s">
        <v>95</v>
      </c>
      <c r="F203" s="31">
        <f>M80</f>
        <v>5.5</v>
      </c>
      <c r="G203" s="31">
        <f>0.03+131.69</f>
        <v>131.72</v>
      </c>
      <c r="H203" s="31">
        <f>25.11+0.03</f>
        <v>25.14</v>
      </c>
      <c r="I203" s="31">
        <f t="shared" si="147"/>
        <v>156.86000000000001</v>
      </c>
      <c r="J203" s="113">
        <f t="shared" si="148"/>
        <v>724.46</v>
      </c>
      <c r="K203" s="113">
        <f t="shared" si="149"/>
        <v>138.27000000000001</v>
      </c>
      <c r="L203" s="113">
        <v>20</v>
      </c>
      <c r="M203" s="113">
        <f t="shared" si="150"/>
        <v>144.892</v>
      </c>
      <c r="N203" s="113">
        <f t="shared" si="151"/>
        <v>27.654</v>
      </c>
      <c r="O203" s="113">
        <f t="shared" si="152"/>
        <v>172.54599999999999</v>
      </c>
      <c r="P203" s="140">
        <f t="shared" si="153"/>
        <v>1035.2760000000001</v>
      </c>
      <c r="Q203" s="114"/>
      <c r="R203" s="115"/>
      <c r="S203" s="115"/>
      <c r="T203" s="115"/>
      <c r="U203" s="115"/>
      <c r="V203" s="115"/>
      <c r="W203" s="115"/>
      <c r="X203" s="115"/>
    </row>
    <row r="204" spans="1:24" s="74" customFormat="1" ht="42.75" x14ac:dyDescent="0.25">
      <c r="A204" s="239" t="s">
        <v>350</v>
      </c>
      <c r="B204" s="215" t="s">
        <v>228</v>
      </c>
      <c r="C204" s="199" t="s">
        <v>251</v>
      </c>
      <c r="D204" s="30" t="s">
        <v>339</v>
      </c>
      <c r="E204" s="29" t="s">
        <v>18</v>
      </c>
      <c r="F204" s="31">
        <f>M98</f>
        <v>4.4000000000000004</v>
      </c>
      <c r="G204" s="83">
        <v>188.28</v>
      </c>
      <c r="H204" s="83">
        <v>40.630000000000003</v>
      </c>
      <c r="I204" s="31">
        <f t="shared" si="147"/>
        <v>228.91</v>
      </c>
      <c r="J204" s="113">
        <f t="shared" si="148"/>
        <v>828.43200000000002</v>
      </c>
      <c r="K204" s="113">
        <f t="shared" si="149"/>
        <v>178.77200000000002</v>
      </c>
      <c r="L204" s="113">
        <v>20</v>
      </c>
      <c r="M204" s="113">
        <f t="shared" si="150"/>
        <v>165.68639999999999</v>
      </c>
      <c r="N204" s="113">
        <f t="shared" si="151"/>
        <v>35.754400000000004</v>
      </c>
      <c r="O204" s="113">
        <f t="shared" si="152"/>
        <v>201.4408</v>
      </c>
      <c r="P204" s="140">
        <f>J204+K204+O204</f>
        <v>1208.6448</v>
      </c>
      <c r="Q204" s="114"/>
      <c r="R204" s="115"/>
      <c r="S204" s="115"/>
      <c r="T204" s="115"/>
      <c r="U204" s="115"/>
      <c r="V204" s="115"/>
      <c r="W204" s="115"/>
      <c r="X204" s="115"/>
    </row>
    <row r="205" spans="1:24" s="74" customFormat="1" ht="24" x14ac:dyDescent="0.25">
      <c r="A205" s="239" t="s">
        <v>350</v>
      </c>
      <c r="B205" s="215" t="s">
        <v>392</v>
      </c>
      <c r="C205" s="199" t="s">
        <v>251</v>
      </c>
      <c r="D205" s="30" t="s">
        <v>393</v>
      </c>
      <c r="E205" s="29" t="s">
        <v>18</v>
      </c>
      <c r="F205" s="31">
        <f>M57+M58</f>
        <v>8.9499999999999993</v>
      </c>
      <c r="G205" s="83">
        <v>8.73</v>
      </c>
      <c r="H205" s="83">
        <v>24.83</v>
      </c>
      <c r="I205" s="31">
        <f t="shared" ref="I205" si="161">G205+H205</f>
        <v>33.56</v>
      </c>
      <c r="J205" s="113">
        <f t="shared" ref="J205" si="162">G205*F205</f>
        <v>78.133499999999998</v>
      </c>
      <c r="K205" s="113">
        <f t="shared" ref="K205" si="163">H205*F205</f>
        <v>222.22849999999997</v>
      </c>
      <c r="L205" s="113">
        <v>20</v>
      </c>
      <c r="M205" s="113">
        <f t="shared" ref="M205" si="164">J205*L205/100</f>
        <v>15.626700000000001</v>
      </c>
      <c r="N205" s="113">
        <f t="shared" ref="N205" si="165">K205*L205/100</f>
        <v>44.445699999999995</v>
      </c>
      <c r="O205" s="113">
        <f t="shared" ref="O205" si="166">M205+N205</f>
        <v>60.072399999999995</v>
      </c>
      <c r="P205" s="140">
        <f t="shared" ref="P205" si="167">J205+K205+O205</f>
        <v>360.43439999999998</v>
      </c>
      <c r="Q205" s="114"/>
      <c r="R205" s="115"/>
      <c r="S205" s="115"/>
      <c r="T205" s="115"/>
      <c r="U205" s="115"/>
      <c r="V205" s="115"/>
      <c r="W205" s="115"/>
      <c r="X205" s="115"/>
    </row>
    <row r="206" spans="1:24" s="74" customFormat="1" ht="24" customHeight="1" x14ac:dyDescent="0.25">
      <c r="A206" s="142"/>
      <c r="B206" s="118"/>
      <c r="C206" s="118"/>
      <c r="D206" s="119" t="s">
        <v>204</v>
      </c>
      <c r="E206" s="119"/>
      <c r="F206" s="120"/>
      <c r="G206" s="120"/>
      <c r="H206" s="120"/>
      <c r="I206" s="120"/>
      <c r="J206" s="121">
        <f>SUM(J194:J205)</f>
        <v>8714.2463549999993</v>
      </c>
      <c r="K206" s="121">
        <f>SUM(K194:K205)</f>
        <v>5876.4138780000003</v>
      </c>
      <c r="L206" s="121"/>
      <c r="M206" s="121">
        <f>SUM(M194:M205)</f>
        <v>1742.8492709999998</v>
      </c>
      <c r="N206" s="121">
        <f>SUM(N194:N205)</f>
        <v>1175.2827756000002</v>
      </c>
      <c r="O206" s="121">
        <f>SUM(O194:O205)</f>
        <v>2918.1320465999997</v>
      </c>
      <c r="P206" s="143">
        <f>SUM(P194:P205)</f>
        <v>17508.792279599998</v>
      </c>
      <c r="Q206" s="114"/>
      <c r="R206" s="115"/>
      <c r="S206" s="115"/>
      <c r="T206" s="115"/>
      <c r="U206" s="115"/>
      <c r="V206" s="115"/>
      <c r="W206" s="115"/>
      <c r="X206" s="115"/>
    </row>
    <row r="207" spans="1:24" s="74" customFormat="1" ht="5.0999999999999996" customHeight="1" x14ac:dyDescent="0.25">
      <c r="A207" s="144"/>
      <c r="B207" s="26"/>
      <c r="C207" s="26"/>
      <c r="D207" s="27"/>
      <c r="E207" s="27"/>
      <c r="F207" s="27"/>
      <c r="G207" s="27"/>
      <c r="H207" s="27"/>
      <c r="I207" s="27"/>
      <c r="J207" s="26"/>
      <c r="K207" s="26"/>
      <c r="L207" s="26"/>
      <c r="M207" s="26"/>
      <c r="N207" s="26"/>
      <c r="O207" s="26"/>
      <c r="P207" s="149"/>
      <c r="Q207" s="26"/>
    </row>
    <row r="208" spans="1:24" s="74" customFormat="1" ht="24" customHeight="1" x14ac:dyDescent="0.25">
      <c r="A208" s="146">
        <v>11</v>
      </c>
      <c r="B208" s="130"/>
      <c r="C208" s="294" t="s">
        <v>64</v>
      </c>
      <c r="D208" s="294"/>
      <c r="E208" s="294"/>
      <c r="F208" s="294"/>
      <c r="G208" s="294"/>
      <c r="H208" s="294"/>
      <c r="I208" s="294" t="s">
        <v>58</v>
      </c>
      <c r="J208" s="294"/>
      <c r="K208" s="267"/>
      <c r="L208" s="266"/>
      <c r="M208" s="130"/>
      <c r="N208" s="130"/>
      <c r="O208" s="130"/>
      <c r="P208" s="147"/>
      <c r="Q208" s="26"/>
    </row>
    <row r="209" spans="1:24" s="74" customFormat="1" ht="28.5" x14ac:dyDescent="0.25">
      <c r="A209" s="238" t="s">
        <v>351</v>
      </c>
      <c r="B209" s="122">
        <v>88485</v>
      </c>
      <c r="C209" s="198" t="s">
        <v>252</v>
      </c>
      <c r="D209" s="123" t="s">
        <v>310</v>
      </c>
      <c r="E209" s="122" t="s">
        <v>18</v>
      </c>
      <c r="F209" s="124">
        <f>M94+M96+M97</f>
        <v>376.78</v>
      </c>
      <c r="G209" s="124">
        <v>2.66</v>
      </c>
      <c r="H209" s="124">
        <v>2.2799999999999998</v>
      </c>
      <c r="I209" s="124">
        <f>G209+H209</f>
        <v>4.9399999999999995</v>
      </c>
      <c r="J209" s="126">
        <f>G209*F209</f>
        <v>1002.2348</v>
      </c>
      <c r="K209" s="126">
        <f t="shared" ref="K209:K210" si="168">H209*F209</f>
        <v>859.05839999999989</v>
      </c>
      <c r="L209" s="126">
        <v>20</v>
      </c>
      <c r="M209" s="126">
        <f>J209*L209/100</f>
        <v>200.44695999999999</v>
      </c>
      <c r="N209" s="126">
        <f t="shared" ref="N209:N210" si="169">K209*L209/100</f>
        <v>171.81167999999997</v>
      </c>
      <c r="O209" s="126">
        <f t="shared" ref="O209:O210" si="170">M209+N209</f>
        <v>372.25863999999996</v>
      </c>
      <c r="P209" s="139">
        <f t="shared" ref="P209:P210" si="171">J209+K209+O209</f>
        <v>2233.5518399999996</v>
      </c>
      <c r="Q209" s="114"/>
      <c r="R209" s="115"/>
      <c r="S209" s="115"/>
      <c r="T209" s="115"/>
      <c r="U209" s="115"/>
      <c r="V209" s="115"/>
      <c r="W209" s="115"/>
      <c r="X209" s="115"/>
    </row>
    <row r="210" spans="1:24" s="74" customFormat="1" ht="28.5" x14ac:dyDescent="0.25">
      <c r="A210" s="239" t="s">
        <v>352</v>
      </c>
      <c r="B210" s="35" t="s">
        <v>78</v>
      </c>
      <c r="C210" s="199" t="s">
        <v>252</v>
      </c>
      <c r="D210" s="30" t="s">
        <v>311</v>
      </c>
      <c r="E210" s="29" t="s">
        <v>18</v>
      </c>
      <c r="F210" s="31">
        <f>M94+M95+M96+M97</f>
        <v>492.73</v>
      </c>
      <c r="G210" s="31">
        <v>9.1999999999999993</v>
      </c>
      <c r="H210" s="31">
        <v>5.05</v>
      </c>
      <c r="I210" s="31">
        <f>G210+H210</f>
        <v>14.25</v>
      </c>
      <c r="J210" s="113">
        <f>G210*F210</f>
        <v>4533.116</v>
      </c>
      <c r="K210" s="113">
        <f t="shared" si="168"/>
        <v>2488.2865000000002</v>
      </c>
      <c r="L210" s="113">
        <v>20</v>
      </c>
      <c r="M210" s="113">
        <f>J210*L210/100</f>
        <v>906.62320000000011</v>
      </c>
      <c r="N210" s="113">
        <f t="shared" si="169"/>
        <v>497.65730000000002</v>
      </c>
      <c r="O210" s="113">
        <f t="shared" si="170"/>
        <v>1404.2805000000001</v>
      </c>
      <c r="P210" s="140">
        <f t="shared" si="171"/>
        <v>8425.6830000000009</v>
      </c>
      <c r="Q210" s="114"/>
      <c r="R210" s="115"/>
      <c r="S210" s="115"/>
      <c r="T210" s="115"/>
      <c r="U210" s="115"/>
      <c r="V210" s="115"/>
      <c r="W210" s="115"/>
      <c r="X210" s="115"/>
    </row>
    <row r="211" spans="1:24" s="74" customFormat="1" ht="28.5" x14ac:dyDescent="0.25">
      <c r="A211" s="239" t="s">
        <v>353</v>
      </c>
      <c r="B211" s="29">
        <v>102218</v>
      </c>
      <c r="C211" s="199" t="s">
        <v>252</v>
      </c>
      <c r="D211" s="30" t="s">
        <v>312</v>
      </c>
      <c r="E211" s="29" t="s">
        <v>18</v>
      </c>
      <c r="F211" s="31">
        <f>(M75+M76)*2</f>
        <v>20.16</v>
      </c>
      <c r="G211" s="31">
        <v>9.36</v>
      </c>
      <c r="H211" s="31">
        <v>10.49</v>
      </c>
      <c r="I211" s="31">
        <f>G211+H211</f>
        <v>19.850000000000001</v>
      </c>
      <c r="J211" s="113">
        <f>G211*F211</f>
        <v>188.69759999999999</v>
      </c>
      <c r="K211" s="113">
        <f t="shared" ref="K211" si="172">H211*F211</f>
        <v>211.47839999999999</v>
      </c>
      <c r="L211" s="113">
        <v>20</v>
      </c>
      <c r="M211" s="113">
        <f>J211*L211/100</f>
        <v>37.739519999999999</v>
      </c>
      <c r="N211" s="113">
        <f t="shared" ref="N211" si="173">K211*L211/100</f>
        <v>42.295680000000004</v>
      </c>
      <c r="O211" s="113">
        <f t="shared" ref="O211" si="174">M211+N211</f>
        <v>80.035200000000003</v>
      </c>
      <c r="P211" s="140">
        <f t="shared" ref="P211" si="175">J211+K211+O211</f>
        <v>480.21119999999996</v>
      </c>
      <c r="Q211" s="114"/>
      <c r="R211" s="115"/>
      <c r="S211" s="115"/>
      <c r="T211" s="115"/>
      <c r="U211" s="115"/>
      <c r="V211" s="115"/>
      <c r="W211" s="115"/>
      <c r="X211" s="115"/>
    </row>
    <row r="212" spans="1:24" s="74" customFormat="1" ht="42.75" x14ac:dyDescent="0.25">
      <c r="A212" s="239" t="s">
        <v>354</v>
      </c>
      <c r="B212" s="35" t="s">
        <v>79</v>
      </c>
      <c r="C212" s="199" t="s">
        <v>252</v>
      </c>
      <c r="D212" s="30" t="s">
        <v>313</v>
      </c>
      <c r="E212" s="29" t="s">
        <v>18</v>
      </c>
      <c r="F212" s="31">
        <f>M44*0.04</f>
        <v>37.962539999999997</v>
      </c>
      <c r="G212" s="31">
        <v>12.67</v>
      </c>
      <c r="H212" s="31">
        <v>3.54</v>
      </c>
      <c r="I212" s="31">
        <f t="shared" ref="I212:I213" si="176">G212+H212</f>
        <v>16.21</v>
      </c>
      <c r="J212" s="113">
        <f t="shared" ref="J212:J213" si="177">G212*F212</f>
        <v>480.98538179999997</v>
      </c>
      <c r="K212" s="113">
        <f t="shared" ref="K212:K213" si="178">H212*F212</f>
        <v>134.3873916</v>
      </c>
      <c r="L212" s="113">
        <v>20</v>
      </c>
      <c r="M212" s="113">
        <f t="shared" ref="M212:M213" si="179">J212*L212/100</f>
        <v>96.197076359999997</v>
      </c>
      <c r="N212" s="113">
        <f t="shared" ref="N212:N213" si="180">K212*L212/100</f>
        <v>26.877478320000002</v>
      </c>
      <c r="O212" s="113">
        <f t="shared" ref="O212:O213" si="181">M212+N212</f>
        <v>123.07455468000001</v>
      </c>
      <c r="P212" s="140">
        <f t="shared" ref="P212:P213" si="182">J212+K212+O212</f>
        <v>738.44732807999992</v>
      </c>
      <c r="Q212" s="114"/>
      <c r="R212" s="115"/>
      <c r="S212" s="115"/>
      <c r="T212" s="115"/>
      <c r="U212" s="115"/>
      <c r="V212" s="115"/>
      <c r="W212" s="115"/>
      <c r="X212" s="115"/>
    </row>
    <row r="213" spans="1:24" s="74" customFormat="1" ht="57" x14ac:dyDescent="0.25">
      <c r="A213" s="239" t="s">
        <v>355</v>
      </c>
      <c r="B213" s="35" t="s">
        <v>80</v>
      </c>
      <c r="C213" s="199" t="s">
        <v>252</v>
      </c>
      <c r="D213" s="30" t="s">
        <v>314</v>
      </c>
      <c r="E213" s="29" t="s">
        <v>18</v>
      </c>
      <c r="F213" s="31">
        <f>M44*0.04</f>
        <v>37.962539999999997</v>
      </c>
      <c r="G213" s="31">
        <v>9.8699999999999992</v>
      </c>
      <c r="H213" s="31">
        <v>1.73</v>
      </c>
      <c r="I213" s="31">
        <f t="shared" si="176"/>
        <v>11.6</v>
      </c>
      <c r="J213" s="113">
        <f t="shared" si="177"/>
        <v>374.69026979999995</v>
      </c>
      <c r="K213" s="113">
        <f t="shared" si="178"/>
        <v>65.675194199999993</v>
      </c>
      <c r="L213" s="113">
        <v>20</v>
      </c>
      <c r="M213" s="113">
        <f t="shared" si="179"/>
        <v>74.938053959999991</v>
      </c>
      <c r="N213" s="113">
        <f t="shared" si="180"/>
        <v>13.135038839999998</v>
      </c>
      <c r="O213" s="113">
        <f t="shared" si="181"/>
        <v>88.073092799999984</v>
      </c>
      <c r="P213" s="140">
        <f t="shared" si="182"/>
        <v>528.43855680000001</v>
      </c>
      <c r="Q213" s="114"/>
      <c r="R213" s="115"/>
      <c r="S213" s="115"/>
      <c r="T213" s="115"/>
      <c r="U213" s="115"/>
      <c r="V213" s="115"/>
      <c r="W213" s="115"/>
      <c r="X213" s="115"/>
    </row>
    <row r="214" spans="1:24" s="74" customFormat="1" ht="42.75" x14ac:dyDescent="0.25">
      <c r="A214" s="239" t="s">
        <v>356</v>
      </c>
      <c r="B214" s="35" t="s">
        <v>81</v>
      </c>
      <c r="C214" s="199" t="s">
        <v>252</v>
      </c>
      <c r="D214" s="30" t="s">
        <v>315</v>
      </c>
      <c r="E214" s="29" t="s">
        <v>18</v>
      </c>
      <c r="F214" s="31">
        <f>M56</f>
        <v>4.57</v>
      </c>
      <c r="G214" s="31">
        <v>14.46</v>
      </c>
      <c r="H214" s="31">
        <v>9.84</v>
      </c>
      <c r="I214" s="31">
        <f t="shared" ref="I214" si="183">G214+H214</f>
        <v>24.3</v>
      </c>
      <c r="J214" s="113">
        <f t="shared" ref="J214" si="184">G214*F214</f>
        <v>66.082200000000014</v>
      </c>
      <c r="K214" s="113">
        <f t="shared" ref="K214" si="185">H214*F214</f>
        <v>44.968800000000002</v>
      </c>
      <c r="L214" s="113">
        <v>20</v>
      </c>
      <c r="M214" s="113">
        <f t="shared" ref="M214" si="186">J214*L214/100</f>
        <v>13.216440000000002</v>
      </c>
      <c r="N214" s="113">
        <f t="shared" ref="N214" si="187">K214*L214/100</f>
        <v>8.99376</v>
      </c>
      <c r="O214" s="113">
        <f t="shared" ref="O214" si="188">M214+N214</f>
        <v>22.2102</v>
      </c>
      <c r="P214" s="140">
        <f t="shared" ref="P214" si="189">J214+K214+O214</f>
        <v>133.26120000000003</v>
      </c>
      <c r="Q214" s="114"/>
      <c r="R214" s="115"/>
      <c r="S214" s="115"/>
      <c r="T214" s="115"/>
      <c r="U214" s="115"/>
      <c r="V214" s="115"/>
      <c r="W214" s="115"/>
      <c r="X214" s="115"/>
    </row>
    <row r="215" spans="1:24" s="74" customFormat="1" ht="24" customHeight="1" x14ac:dyDescent="0.25">
      <c r="A215" s="240" t="s">
        <v>357</v>
      </c>
      <c r="B215" s="218" t="s">
        <v>98</v>
      </c>
      <c r="C215" s="205" t="s">
        <v>251</v>
      </c>
      <c r="D215" s="206" t="s">
        <v>99</v>
      </c>
      <c r="E215" s="127" t="s">
        <v>18</v>
      </c>
      <c r="F215" s="132">
        <f>M93</f>
        <v>106.48</v>
      </c>
      <c r="G215" s="133">
        <v>2.9</v>
      </c>
      <c r="H215" s="133">
        <v>11.24</v>
      </c>
      <c r="I215" s="132">
        <f>G215+H215</f>
        <v>14.14</v>
      </c>
      <c r="J215" s="129">
        <f>G215*F215</f>
        <v>308.79200000000003</v>
      </c>
      <c r="K215" s="129">
        <f t="shared" ref="K215" si="190">H215*F215</f>
        <v>1196.8352</v>
      </c>
      <c r="L215" s="129">
        <v>20</v>
      </c>
      <c r="M215" s="129">
        <f>J215*L215/100</f>
        <v>61.758400000000002</v>
      </c>
      <c r="N215" s="129">
        <f t="shared" ref="N215" si="191">K215*L215/100</f>
        <v>239.36703999999997</v>
      </c>
      <c r="O215" s="129">
        <f t="shared" ref="O215" si="192">M215+N215</f>
        <v>301.12543999999997</v>
      </c>
      <c r="P215" s="141">
        <f t="shared" ref="P215" si="193">J215+K215+O215</f>
        <v>1806.7526399999999</v>
      </c>
      <c r="Q215" s="114"/>
      <c r="R215" s="115"/>
      <c r="S215" s="115"/>
      <c r="T215" s="115"/>
      <c r="U215" s="115"/>
      <c r="V215" s="115"/>
      <c r="W215" s="115"/>
      <c r="X215" s="115"/>
    </row>
    <row r="216" spans="1:24" s="74" customFormat="1" ht="24" customHeight="1" x14ac:dyDescent="0.25">
      <c r="A216" s="142"/>
      <c r="B216" s="118"/>
      <c r="C216" s="118"/>
      <c r="D216" s="119" t="s">
        <v>204</v>
      </c>
      <c r="E216" s="119"/>
      <c r="F216" s="120"/>
      <c r="G216" s="120"/>
      <c r="H216" s="120"/>
      <c r="I216" s="120"/>
      <c r="J216" s="121">
        <f>SUM(J209:J215)</f>
        <v>6954.5982516000013</v>
      </c>
      <c r="K216" s="121">
        <f>SUM(K209:K215)</f>
        <v>5000.6898858000004</v>
      </c>
      <c r="L216" s="121"/>
      <c r="M216" s="121">
        <f>SUM(M209:M215)</f>
        <v>1390.9196503200001</v>
      </c>
      <c r="N216" s="121">
        <f>SUM(N209:N215)</f>
        <v>1000.13797716</v>
      </c>
      <c r="O216" s="121">
        <f>SUM(O209:O215)</f>
        <v>2391.0576274799996</v>
      </c>
      <c r="P216" s="143">
        <f>SUM(P209:P215)</f>
        <v>14346.345764880001</v>
      </c>
      <c r="Q216" s="114"/>
      <c r="R216" s="115"/>
      <c r="S216" s="115"/>
      <c r="T216" s="115"/>
      <c r="U216" s="115"/>
      <c r="V216" s="115"/>
      <c r="W216" s="115"/>
      <c r="X216" s="115"/>
    </row>
    <row r="217" spans="1:24" s="74" customFormat="1" ht="5.0999999999999996" customHeight="1" x14ac:dyDescent="0.25">
      <c r="A217" s="144"/>
      <c r="B217" s="26"/>
      <c r="C217" s="26"/>
      <c r="D217" s="27"/>
      <c r="E217" s="27"/>
      <c r="F217" s="27"/>
      <c r="G217" s="27"/>
      <c r="H217" s="27"/>
      <c r="I217" s="27"/>
      <c r="J217" s="26"/>
      <c r="K217" s="26"/>
      <c r="L217" s="26"/>
      <c r="M217" s="26"/>
      <c r="N217" s="26"/>
      <c r="O217" s="26"/>
      <c r="P217" s="149"/>
      <c r="Q217" s="26"/>
    </row>
    <row r="218" spans="1:24" s="74" customFormat="1" ht="24" customHeight="1" x14ac:dyDescent="0.25">
      <c r="A218" s="146">
        <v>12</v>
      </c>
      <c r="B218" s="130"/>
      <c r="C218" s="294" t="s">
        <v>296</v>
      </c>
      <c r="D218" s="294"/>
      <c r="E218" s="294"/>
      <c r="F218" s="294"/>
      <c r="G218" s="294"/>
      <c r="H218" s="294"/>
      <c r="I218" s="294" t="s">
        <v>82</v>
      </c>
      <c r="J218" s="294"/>
      <c r="K218" s="267"/>
      <c r="L218" s="266"/>
      <c r="M218" s="130"/>
      <c r="N218" s="130"/>
      <c r="O218" s="130"/>
      <c r="P218" s="147"/>
      <c r="Q218" s="26"/>
    </row>
    <row r="219" spans="1:24" s="74" customFormat="1" ht="24" customHeight="1" x14ac:dyDescent="0.25">
      <c r="A219" s="229" t="s">
        <v>358</v>
      </c>
      <c r="B219" s="207" t="s">
        <v>297</v>
      </c>
      <c r="C219" s="198" t="s">
        <v>251</v>
      </c>
      <c r="D219" s="123" t="s">
        <v>299</v>
      </c>
      <c r="E219" s="122" t="s">
        <v>95</v>
      </c>
      <c r="F219" s="124">
        <f>M104</f>
        <v>2.8</v>
      </c>
      <c r="G219" s="125">
        <v>195.57</v>
      </c>
      <c r="H219" s="125">
        <v>22.58</v>
      </c>
      <c r="I219" s="124">
        <f t="shared" ref="I219:I221" si="194">G219+H219</f>
        <v>218.14999999999998</v>
      </c>
      <c r="J219" s="126">
        <f t="shared" ref="J219:J221" si="195">G219*F219</f>
        <v>547.59599999999989</v>
      </c>
      <c r="K219" s="126">
        <f t="shared" ref="K219:K221" si="196">H219*F219</f>
        <v>63.22399999999999</v>
      </c>
      <c r="L219" s="126">
        <v>20</v>
      </c>
      <c r="M219" s="126">
        <f t="shared" ref="M219:M221" si="197">J219*L219/100</f>
        <v>109.51919999999998</v>
      </c>
      <c r="N219" s="126">
        <f t="shared" ref="N219:N221" si="198">K219*L219/100</f>
        <v>12.644799999999998</v>
      </c>
      <c r="O219" s="126">
        <f t="shared" ref="O219:O221" si="199">M219+N219</f>
        <v>122.16399999999999</v>
      </c>
      <c r="P219" s="139">
        <f t="shared" ref="P219:P221" si="200">J219+K219+O219</f>
        <v>732.98399999999992</v>
      </c>
      <c r="Q219" s="26"/>
    </row>
    <row r="220" spans="1:24" s="74" customFormat="1" ht="24" customHeight="1" x14ac:dyDescent="0.25">
      <c r="A220" s="203" t="s">
        <v>359</v>
      </c>
      <c r="B220" s="204" t="s">
        <v>298</v>
      </c>
      <c r="C220" s="199" t="s">
        <v>251</v>
      </c>
      <c r="D220" s="30" t="s">
        <v>300</v>
      </c>
      <c r="E220" s="29" t="s">
        <v>95</v>
      </c>
      <c r="F220" s="31">
        <f>M103</f>
        <v>2.7600000000000002</v>
      </c>
      <c r="G220" s="83">
        <v>228.65</v>
      </c>
      <c r="H220" s="83">
        <v>22.58</v>
      </c>
      <c r="I220" s="31">
        <f t="shared" ref="I220" si="201">G220+H220</f>
        <v>251.23000000000002</v>
      </c>
      <c r="J220" s="113">
        <f t="shared" ref="J220" si="202">G220*F220</f>
        <v>631.07400000000007</v>
      </c>
      <c r="K220" s="113">
        <f t="shared" ref="K220" si="203">H220*F220</f>
        <v>62.320799999999998</v>
      </c>
      <c r="L220" s="113">
        <v>20</v>
      </c>
      <c r="M220" s="113">
        <f t="shared" ref="M220" si="204">J220*L220/100</f>
        <v>126.21480000000001</v>
      </c>
      <c r="N220" s="113">
        <f t="shared" ref="N220" si="205">K220*L220/100</f>
        <v>12.46416</v>
      </c>
      <c r="O220" s="113">
        <f t="shared" ref="O220" si="206">M220+N220</f>
        <v>138.67896000000002</v>
      </c>
      <c r="P220" s="140">
        <f t="shared" ref="P220" si="207">J220+K220+O220</f>
        <v>832.07375999999999</v>
      </c>
      <c r="Q220" s="26"/>
    </row>
    <row r="221" spans="1:24" s="74" customFormat="1" ht="28.5" x14ac:dyDescent="0.25">
      <c r="A221" s="203" t="s">
        <v>360</v>
      </c>
      <c r="B221" s="204" t="s">
        <v>301</v>
      </c>
      <c r="C221" s="199" t="s">
        <v>251</v>
      </c>
      <c r="D221" s="30" t="s">
        <v>302</v>
      </c>
      <c r="E221" s="29" t="s">
        <v>18</v>
      </c>
      <c r="F221" s="31">
        <f>M105+M106</f>
        <v>0.72499999999999998</v>
      </c>
      <c r="G221" s="83">
        <v>101.76</v>
      </c>
      <c r="H221" s="83">
        <v>29.12</v>
      </c>
      <c r="I221" s="31">
        <f t="shared" si="194"/>
        <v>130.88</v>
      </c>
      <c r="J221" s="113">
        <f t="shared" si="195"/>
        <v>73.775999999999996</v>
      </c>
      <c r="K221" s="113">
        <f t="shared" si="196"/>
        <v>21.111999999999998</v>
      </c>
      <c r="L221" s="113">
        <v>20</v>
      </c>
      <c r="M221" s="113">
        <f t="shared" si="197"/>
        <v>14.7552</v>
      </c>
      <c r="N221" s="113">
        <f t="shared" si="198"/>
        <v>4.2223999999999995</v>
      </c>
      <c r="O221" s="113">
        <f t="shared" si="199"/>
        <v>18.977599999999999</v>
      </c>
      <c r="P221" s="140">
        <f t="shared" si="200"/>
        <v>113.86559999999999</v>
      </c>
      <c r="Q221" s="26"/>
    </row>
    <row r="222" spans="1:24" s="74" customFormat="1" ht="42.75" x14ac:dyDescent="0.25">
      <c r="A222" s="203" t="s">
        <v>361</v>
      </c>
      <c r="B222" s="218" t="s">
        <v>303</v>
      </c>
      <c r="C222" s="205" t="s">
        <v>251</v>
      </c>
      <c r="D222" s="276" t="s">
        <v>304</v>
      </c>
      <c r="E222" s="127" t="s">
        <v>18</v>
      </c>
      <c r="F222" s="194">
        <f>F221</f>
        <v>0.72499999999999998</v>
      </c>
      <c r="G222" s="133">
        <v>5.88</v>
      </c>
      <c r="H222" s="133">
        <v>10.27</v>
      </c>
      <c r="I222" s="132">
        <f t="shared" ref="I222" si="208">G222+H222</f>
        <v>16.149999999999999</v>
      </c>
      <c r="J222" s="129">
        <f t="shared" ref="J222" si="209">G222*F222</f>
        <v>4.2629999999999999</v>
      </c>
      <c r="K222" s="129">
        <f t="shared" ref="K222" si="210">H222*F222</f>
        <v>7.4457499999999994</v>
      </c>
      <c r="L222" s="129">
        <v>20</v>
      </c>
      <c r="M222" s="129">
        <f t="shared" ref="M222" si="211">J222*L222/100</f>
        <v>0.85259999999999991</v>
      </c>
      <c r="N222" s="129">
        <f t="shared" ref="N222" si="212">K222*L222/100</f>
        <v>1.48915</v>
      </c>
      <c r="O222" s="129">
        <f t="shared" ref="O222" si="213">M222+N222</f>
        <v>2.3417499999999998</v>
      </c>
      <c r="P222" s="141">
        <f t="shared" ref="P222" si="214">J222+K222+O222</f>
        <v>14.050499999999998</v>
      </c>
      <c r="Q222" s="26"/>
    </row>
    <row r="223" spans="1:24" s="74" customFormat="1" ht="24" customHeight="1" x14ac:dyDescent="0.25">
      <c r="A223" s="142"/>
      <c r="B223" s="118"/>
      <c r="C223" s="118"/>
      <c r="D223" s="119" t="s">
        <v>204</v>
      </c>
      <c r="E223" s="119"/>
      <c r="F223" s="120"/>
      <c r="G223" s="120"/>
      <c r="H223" s="120"/>
      <c r="I223" s="120"/>
      <c r="J223" s="121">
        <f>SUM(J219:J222)</f>
        <v>1256.7090000000001</v>
      </c>
      <c r="K223" s="121">
        <f>SUM(K219:K222)</f>
        <v>154.10254999999998</v>
      </c>
      <c r="L223" s="121"/>
      <c r="M223" s="121">
        <f>SUM(M219:M222)</f>
        <v>251.34179999999998</v>
      </c>
      <c r="N223" s="121">
        <f>SUM(N219:N222)</f>
        <v>30.820509999999995</v>
      </c>
      <c r="O223" s="121">
        <f>SUM(O219:O222)</f>
        <v>282.16230999999999</v>
      </c>
      <c r="P223" s="143">
        <f>SUM(P219:P222)</f>
        <v>1692.9738600000001</v>
      </c>
      <c r="Q223" s="26"/>
    </row>
    <row r="224" spans="1:24" s="74" customFormat="1" ht="5.0999999999999996" customHeight="1" x14ac:dyDescent="0.25">
      <c r="A224" s="144"/>
      <c r="B224" s="26"/>
      <c r="C224" s="26"/>
      <c r="D224" s="27"/>
      <c r="E224" s="27"/>
      <c r="F224" s="27"/>
      <c r="G224" s="27"/>
      <c r="H224" s="27"/>
      <c r="I224" s="27"/>
      <c r="J224" s="26"/>
      <c r="K224" s="26"/>
      <c r="L224" s="26"/>
      <c r="M224" s="26"/>
      <c r="N224" s="26"/>
      <c r="O224" s="26"/>
      <c r="P224" s="149"/>
      <c r="Q224" s="26"/>
    </row>
    <row r="225" spans="1:19" s="74" customFormat="1" ht="24" customHeight="1" x14ac:dyDescent="0.25">
      <c r="A225" s="146">
        <v>13</v>
      </c>
      <c r="B225" s="130"/>
      <c r="C225" s="294" t="s">
        <v>82</v>
      </c>
      <c r="D225" s="294"/>
      <c r="E225" s="294"/>
      <c r="F225" s="294"/>
      <c r="G225" s="294"/>
      <c r="H225" s="294"/>
      <c r="I225" s="294" t="s">
        <v>82</v>
      </c>
      <c r="J225" s="294"/>
      <c r="K225" s="267"/>
      <c r="L225" s="266"/>
      <c r="M225" s="130"/>
      <c r="N225" s="130"/>
      <c r="O225" s="130"/>
      <c r="P225" s="147"/>
      <c r="Q225" s="26"/>
    </row>
    <row r="226" spans="1:19" s="74" customFormat="1" ht="28.5" x14ac:dyDescent="0.25">
      <c r="A226" s="238" t="s">
        <v>362</v>
      </c>
      <c r="B226" s="247" t="s">
        <v>106</v>
      </c>
      <c r="C226" s="198" t="s">
        <v>251</v>
      </c>
      <c r="D226" s="134" t="s">
        <v>107</v>
      </c>
      <c r="E226" s="122" t="s">
        <v>18</v>
      </c>
      <c r="F226" s="166">
        <f>0.4*2.75+6.3*1.35</f>
        <v>9.6050000000000004</v>
      </c>
      <c r="G226" s="166">
        <v>0</v>
      </c>
      <c r="H226" s="125">
        <v>2.04</v>
      </c>
      <c r="I226" s="208">
        <f>G226+H226</f>
        <v>2.04</v>
      </c>
      <c r="J226" s="126">
        <v>0</v>
      </c>
      <c r="K226" s="126">
        <f t="shared" ref="K226:K227" si="215">H226*F226</f>
        <v>19.594200000000001</v>
      </c>
      <c r="L226" s="126">
        <v>20</v>
      </c>
      <c r="M226" s="126">
        <f>J226*L226/100</f>
        <v>0</v>
      </c>
      <c r="N226" s="126">
        <f t="shared" ref="N226:N227" si="216">K226*L226/100</f>
        <v>3.9188400000000003</v>
      </c>
      <c r="O226" s="126">
        <f t="shared" ref="O226" si="217">M226+N226</f>
        <v>3.9188400000000003</v>
      </c>
      <c r="P226" s="139">
        <f t="shared" ref="P226:P227" si="218">J226+K226+O226</f>
        <v>23.51304</v>
      </c>
      <c r="Q226" s="26"/>
    </row>
    <row r="227" spans="1:19" s="74" customFormat="1" ht="28.5" x14ac:dyDescent="0.25">
      <c r="A227" s="239" t="s">
        <v>363</v>
      </c>
      <c r="B227" s="248" t="s">
        <v>108</v>
      </c>
      <c r="C227" s="199" t="s">
        <v>251</v>
      </c>
      <c r="D227" s="84" t="s">
        <v>109</v>
      </c>
      <c r="E227" s="29" t="s">
        <v>18</v>
      </c>
      <c r="F227" s="165">
        <f>F226</f>
        <v>9.6050000000000004</v>
      </c>
      <c r="G227" s="275">
        <v>12.09</v>
      </c>
      <c r="H227" s="83">
        <v>5.15</v>
      </c>
      <c r="I227" s="99">
        <f>G227+H227</f>
        <v>17.240000000000002</v>
      </c>
      <c r="J227" s="113">
        <f>G227*F227</f>
        <v>116.12445000000001</v>
      </c>
      <c r="K227" s="113">
        <f t="shared" si="215"/>
        <v>49.465750000000007</v>
      </c>
      <c r="L227" s="113">
        <v>20</v>
      </c>
      <c r="M227" s="113">
        <f>J227*L227/100</f>
        <v>23.224890000000002</v>
      </c>
      <c r="N227" s="113">
        <f t="shared" si="216"/>
        <v>9.8931500000000021</v>
      </c>
      <c r="O227" s="113">
        <f>M227+N227</f>
        <v>33.118040000000008</v>
      </c>
      <c r="P227" s="140">
        <f t="shared" si="218"/>
        <v>198.70824000000002</v>
      </c>
      <c r="Q227" s="26"/>
    </row>
    <row r="228" spans="1:19" s="74" customFormat="1" ht="24" customHeight="1" x14ac:dyDescent="0.25">
      <c r="A228" s="240" t="s">
        <v>364</v>
      </c>
      <c r="B228" s="249" t="s">
        <v>83</v>
      </c>
      <c r="C228" s="205" t="s">
        <v>251</v>
      </c>
      <c r="D228" s="131" t="s">
        <v>84</v>
      </c>
      <c r="E228" s="127" t="s">
        <v>18</v>
      </c>
      <c r="F228" s="194">
        <f>M85</f>
        <v>71.040000000000006</v>
      </c>
      <c r="G228" s="194">
        <v>0</v>
      </c>
      <c r="H228" s="133">
        <v>14.25</v>
      </c>
      <c r="I228" s="128">
        <f>G228+H228</f>
        <v>14.25</v>
      </c>
      <c r="J228" s="129">
        <f>G228*F228</f>
        <v>0</v>
      </c>
      <c r="K228" s="129">
        <f t="shared" ref="K228" si="219">H228*F228</f>
        <v>1012.32</v>
      </c>
      <c r="L228" s="129">
        <v>20</v>
      </c>
      <c r="M228" s="129">
        <f>J228*L228/100</f>
        <v>0</v>
      </c>
      <c r="N228" s="129">
        <f t="shared" ref="N228" si="220">K228*L228/100</f>
        <v>202.46400000000003</v>
      </c>
      <c r="O228" s="129">
        <f t="shared" ref="O228" si="221">M228+N228</f>
        <v>202.46400000000003</v>
      </c>
      <c r="P228" s="141">
        <f t="shared" ref="P228" si="222">J228+K228+O228</f>
        <v>1214.7840000000001</v>
      </c>
      <c r="Q228" s="26"/>
    </row>
    <row r="229" spans="1:19" s="74" customFormat="1" ht="30.75" customHeight="1" thickBot="1" x14ac:dyDescent="0.3">
      <c r="A229" s="196"/>
      <c r="B229" s="167"/>
      <c r="C229" s="167"/>
      <c r="D229" s="167" t="s">
        <v>204</v>
      </c>
      <c r="E229" s="197"/>
      <c r="F229" s="168"/>
      <c r="G229" s="169"/>
      <c r="H229" s="169"/>
      <c r="I229" s="169"/>
      <c r="J229" s="170">
        <f>SUM(J226:J228)</f>
        <v>116.12445000000001</v>
      </c>
      <c r="K229" s="121">
        <f>SUM(K226:K228)</f>
        <v>1081.37995</v>
      </c>
      <c r="L229" s="121"/>
      <c r="M229" s="121">
        <f>SUM(M226:M228)</f>
        <v>23.224890000000002</v>
      </c>
      <c r="N229" s="121">
        <f>SUM(N226:N228)</f>
        <v>216.27599000000004</v>
      </c>
      <c r="O229" s="121">
        <f>SUM(O226:O228)</f>
        <v>239.50088000000005</v>
      </c>
      <c r="P229" s="143">
        <f>SUM(P226:P228)</f>
        <v>1437.0052800000001</v>
      </c>
      <c r="Q229" s="26"/>
    </row>
    <row r="230" spans="1:19" s="74" customFormat="1" ht="20.100000000000001" hidden="1" customHeight="1" thickBot="1" x14ac:dyDescent="0.3">
      <c r="A230" s="152"/>
      <c r="B230" s="219"/>
      <c r="C230" s="75"/>
      <c r="D230" s="172"/>
      <c r="E230" s="19"/>
      <c r="F230" s="20"/>
      <c r="G230" s="85"/>
      <c r="H230" s="85"/>
      <c r="I230" s="21"/>
      <c r="J230" s="21"/>
      <c r="K230" s="21"/>
      <c r="L230" s="22"/>
      <c r="M230" s="23"/>
      <c r="N230" s="24"/>
      <c r="O230" s="25"/>
      <c r="P230" s="153"/>
      <c r="Q230" s="26"/>
    </row>
    <row r="231" spans="1:19" s="88" customFormat="1" ht="10.5" customHeight="1" thickBot="1" x14ac:dyDescent="0.3">
      <c r="A231" s="154"/>
      <c r="B231" s="76"/>
      <c r="C231" s="76"/>
      <c r="D231" s="173"/>
      <c r="E231" s="77"/>
      <c r="F231" s="78"/>
      <c r="G231" s="79"/>
      <c r="H231" s="79"/>
      <c r="I231" s="79"/>
      <c r="J231" s="79"/>
      <c r="K231" s="79"/>
      <c r="L231" s="79"/>
      <c r="M231" s="79"/>
      <c r="N231" s="79"/>
      <c r="O231" s="79"/>
      <c r="P231" s="155"/>
      <c r="Q231" s="86"/>
      <c r="R231" s="87"/>
      <c r="S231" s="87"/>
    </row>
    <row r="232" spans="1:19" s="89" customFormat="1" ht="24" customHeight="1" thickBot="1" x14ac:dyDescent="0.3">
      <c r="A232" s="156"/>
      <c r="B232" s="220"/>
      <c r="C232" s="82"/>
      <c r="D232" s="88"/>
      <c r="E232" s="90"/>
      <c r="F232" s="80"/>
      <c r="G232" s="14"/>
      <c r="H232" s="91"/>
      <c r="I232" s="91"/>
      <c r="J232" s="92">
        <f>J229+J216+J206+J180+J191+J173+J165+J158+J151+J143+J132+J125+J223</f>
        <v>92855.346677099995</v>
      </c>
      <c r="K232" s="92">
        <f>K229+K216+K206+K180+K191+K173+K165+K158+K151+K143+K132+K125+K223</f>
        <v>32144.651130300004</v>
      </c>
      <c r="L232" s="93"/>
      <c r="M232" s="92">
        <f>M229+M216+M206+M180+M191+M173+M165+M158+M151+M143+M132+M125+M223</f>
        <v>18571.069335419994</v>
      </c>
      <c r="N232" s="92">
        <f>N229+N216+N206+N180+N191+N173+N165+N158+N151+N143+N132+N125+N223</f>
        <v>6428.9302260599998</v>
      </c>
      <c r="O232" s="92">
        <f>O229+O216+O206+O180+O191+O173+O165+O158+O151+O143+O132+O125+O223</f>
        <v>24999.999561480003</v>
      </c>
      <c r="P232" s="230">
        <f>P229+P216+P206+P180+P191+P173+P165+P158+P151+P143+P132+P125+P223</f>
        <v>149999.99736887999</v>
      </c>
    </row>
    <row r="233" spans="1:19" s="89" customFormat="1" ht="9" customHeight="1" thickBot="1" x14ac:dyDescent="0.3">
      <c r="A233" s="156"/>
      <c r="B233" s="90"/>
      <c r="C233" s="90"/>
      <c r="D233" s="88"/>
      <c r="E233" s="90"/>
      <c r="F233" s="90"/>
      <c r="G233" s="90"/>
      <c r="H233" s="91"/>
      <c r="I233" s="91"/>
      <c r="J233" s="94"/>
      <c r="K233" s="94"/>
      <c r="L233" s="95"/>
      <c r="M233" s="94"/>
      <c r="N233" s="94"/>
      <c r="O233" s="94"/>
      <c r="P233" s="157"/>
    </row>
    <row r="234" spans="1:19" s="89" customFormat="1" ht="20.100000000000001" customHeight="1" x14ac:dyDescent="0.25">
      <c r="A234" s="156"/>
      <c r="B234" s="220"/>
      <c r="C234" s="14"/>
      <c r="D234" s="174"/>
      <c r="E234" s="14"/>
      <c r="F234" s="18"/>
      <c r="G234" s="14"/>
      <c r="H234" s="90"/>
      <c r="J234" s="345" t="s">
        <v>19</v>
      </c>
      <c r="K234" s="96"/>
      <c r="L234" s="341" t="s">
        <v>20</v>
      </c>
      <c r="M234" s="341"/>
      <c r="N234" s="341"/>
      <c r="O234" s="341"/>
      <c r="P234" s="342"/>
    </row>
    <row r="235" spans="1:19" s="89" customFormat="1" ht="15" customHeight="1" thickBot="1" x14ac:dyDescent="0.3">
      <c r="A235" s="156"/>
      <c r="B235" s="220"/>
      <c r="C235" s="14"/>
      <c r="D235" s="174"/>
      <c r="E235" s="343"/>
      <c r="F235" s="343"/>
      <c r="G235" s="14"/>
      <c r="J235" s="346"/>
      <c r="K235" s="97"/>
      <c r="L235" s="112"/>
      <c r="M235" s="112"/>
      <c r="N235" s="112"/>
      <c r="O235" s="112"/>
      <c r="P235" s="158">
        <f>J232+K232+O232</f>
        <v>149999.99736887999</v>
      </c>
    </row>
    <row r="236" spans="1:19" s="89" customFormat="1" ht="11.25" customHeight="1" x14ac:dyDescent="0.25">
      <c r="A236" s="159"/>
      <c r="B236" s="90"/>
      <c r="C236" s="90"/>
      <c r="D236" s="88"/>
      <c r="E236" s="90"/>
      <c r="H236" s="90"/>
      <c r="J236" s="98"/>
      <c r="K236" s="98"/>
      <c r="L236" s="98"/>
      <c r="M236" s="98"/>
      <c r="N236" s="98"/>
      <c r="O236" s="98"/>
      <c r="P236" s="160"/>
    </row>
    <row r="237" spans="1:19" s="89" customFormat="1" ht="11.25" customHeight="1" thickBot="1" x14ac:dyDescent="0.3">
      <c r="A237" s="231"/>
      <c r="B237" s="161"/>
      <c r="C237" s="161"/>
      <c r="D237" s="232"/>
      <c r="E237" s="233"/>
      <c r="F237" s="162"/>
      <c r="G237" s="162"/>
      <c r="H237" s="161"/>
      <c r="I237" s="162"/>
      <c r="J237" s="163"/>
      <c r="K237" s="163"/>
      <c r="L237" s="163"/>
      <c r="M237" s="163"/>
      <c r="N237" s="163"/>
      <c r="O237" s="163"/>
      <c r="P237" s="164"/>
    </row>
    <row r="238" spans="1:19" ht="16.5" thickTop="1" x14ac:dyDescent="0.25"/>
  </sheetData>
  <mergeCells count="113">
    <mergeCell ref="K62:L62"/>
    <mergeCell ref="K25:L25"/>
    <mergeCell ref="K34:L34"/>
    <mergeCell ref="K39:L39"/>
    <mergeCell ref="K38:L38"/>
    <mergeCell ref="K37:L37"/>
    <mergeCell ref="K36:L36"/>
    <mergeCell ref="K30:L30"/>
    <mergeCell ref="K28:L28"/>
    <mergeCell ref="K27:L27"/>
    <mergeCell ref="N153:O153"/>
    <mergeCell ref="C113:J113"/>
    <mergeCell ref="L234:P234"/>
    <mergeCell ref="E235:F235"/>
    <mergeCell ref="C160:J160"/>
    <mergeCell ref="C167:J167"/>
    <mergeCell ref="C182:J182"/>
    <mergeCell ref="C175:J175"/>
    <mergeCell ref="C193:J193"/>
    <mergeCell ref="C208:J208"/>
    <mergeCell ref="C225:J225"/>
    <mergeCell ref="J234:J235"/>
    <mergeCell ref="N113:O113"/>
    <mergeCell ref="C127:J127"/>
    <mergeCell ref="C134:J134"/>
    <mergeCell ref="C145:J145"/>
    <mergeCell ref="C153:J153"/>
    <mergeCell ref="A109:A111"/>
    <mergeCell ref="B109:B111"/>
    <mergeCell ref="C109:C111"/>
    <mergeCell ref="D109:D111"/>
    <mergeCell ref="E109:E111"/>
    <mergeCell ref="E9:E10"/>
    <mergeCell ref="G9:J9"/>
    <mergeCell ref="F109:F111"/>
    <mergeCell ref="G109:I109"/>
    <mergeCell ref="J109:P109"/>
    <mergeCell ref="G110:G111"/>
    <mergeCell ref="H110:H111"/>
    <mergeCell ref="I110:I111"/>
    <mergeCell ref="J110:K110"/>
    <mergeCell ref="P110:P111"/>
    <mergeCell ref="K12:L12"/>
    <mergeCell ref="K17:L17"/>
    <mergeCell ref="K18:L18"/>
    <mergeCell ref="K23:L23"/>
    <mergeCell ref="K24:L24"/>
    <mergeCell ref="K96:L96"/>
    <mergeCell ref="K80:L80"/>
    <mergeCell ref="K76:L76"/>
    <mergeCell ref="K20:L20"/>
    <mergeCell ref="C218:J218"/>
    <mergeCell ref="K103:L103"/>
    <mergeCell ref="K104:L104"/>
    <mergeCell ref="K105:L105"/>
    <mergeCell ref="K106:L106"/>
    <mergeCell ref="K97:L97"/>
    <mergeCell ref="A1:P1"/>
    <mergeCell ref="C3:H3"/>
    <mergeCell ref="C7:D7"/>
    <mergeCell ref="I7:K7"/>
    <mergeCell ref="C8:D8"/>
    <mergeCell ref="I8:K8"/>
    <mergeCell ref="M9:N10"/>
    <mergeCell ref="K99:L99"/>
    <mergeCell ref="K98:L98"/>
    <mergeCell ref="K89:L89"/>
    <mergeCell ref="K90:L90"/>
    <mergeCell ref="K86:L86"/>
    <mergeCell ref="K85:L85"/>
    <mergeCell ref="K84:L84"/>
    <mergeCell ref="K43:L43"/>
    <mergeCell ref="K44:L44"/>
    <mergeCell ref="K53:L53"/>
    <mergeCell ref="K57:L57"/>
    <mergeCell ref="K93:L93"/>
    <mergeCell ref="K94:L94"/>
    <mergeCell ref="K100:L100"/>
    <mergeCell ref="K95:L95"/>
    <mergeCell ref="K91:L91"/>
    <mergeCell ref="K82:L82"/>
    <mergeCell ref="K81:L81"/>
    <mergeCell ref="K79:L79"/>
    <mergeCell ref="K74:L74"/>
    <mergeCell ref="K75:L75"/>
    <mergeCell ref="K77:L77"/>
    <mergeCell ref="K78:L78"/>
    <mergeCell ref="K87:L87"/>
    <mergeCell ref="K88:L88"/>
    <mergeCell ref="K19:L19"/>
    <mergeCell ref="K26:L26"/>
    <mergeCell ref="K9:K10"/>
    <mergeCell ref="F9:F10"/>
    <mergeCell ref="K69:L69"/>
    <mergeCell ref="K67:L67"/>
    <mergeCell ref="K68:L68"/>
    <mergeCell ref="K71:L71"/>
    <mergeCell ref="K63:L63"/>
    <mergeCell ref="K60:L60"/>
    <mergeCell ref="K61:L61"/>
    <mergeCell ref="K54:L54"/>
    <mergeCell ref="K55:L55"/>
    <mergeCell ref="K70:L70"/>
    <mergeCell ref="K58:L58"/>
    <mergeCell ref="K21:L21"/>
    <mergeCell ref="K22:L22"/>
    <mergeCell ref="K64:L64"/>
    <mergeCell ref="K31:L31"/>
    <mergeCell ref="K35:L35"/>
    <mergeCell ref="K40:L40"/>
    <mergeCell ref="K41:L41"/>
    <mergeCell ref="K42:L42"/>
    <mergeCell ref="K33:L33"/>
  </mergeCells>
  <conditionalFormatting sqref="G172">
    <cfRule type="expression" dxfId="1" priority="29" stopIfTrue="1">
      <formula>J172&lt;6</formula>
    </cfRule>
  </conditionalFormatting>
  <conditionalFormatting sqref="H172">
    <cfRule type="expression" dxfId="0" priority="28" stopIfTrue="1">
      <formula>J172&lt;6</formula>
    </cfRule>
  </conditionalFormatting>
  <pageMargins left="0.19685039370078741" right="3.937007874015748E-2" top="0.19685039370078741" bottom="0.19685039370078741" header="0.31496062992125984" footer="0.31496062992125984"/>
  <pageSetup paperSize="9" scale="70" fitToHeight="0" orientation="landscape" horizontalDpi="4294967293" verticalDpi="4294967293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</vt:lpstr>
      <vt:lpstr>Orçamento!Area_de_impressao</vt:lpstr>
      <vt:lpstr>Orçamento!Titulos_de_impressao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Obras01</dc:creator>
  <cp:lastModifiedBy>Licitacao01</cp:lastModifiedBy>
  <cp:lastPrinted>2024-02-28T11:55:40Z</cp:lastPrinted>
  <dcterms:created xsi:type="dcterms:W3CDTF">2023-02-01T18:01:41Z</dcterms:created>
  <dcterms:modified xsi:type="dcterms:W3CDTF">2024-04-25T20:08:03Z</dcterms:modified>
</cp:coreProperties>
</file>