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ICITACAO_2021_2022\LICITACAO_ANO_2022\CONVÊNIOS\REVITALIZAÇÃO AVENIDA\"/>
    </mc:Choice>
  </mc:AlternateContent>
  <xr:revisionPtr revIDLastSave="0" documentId="8_{BB5E8333-F4BD-408D-9AA1-A7433BD561FD}" xr6:coauthVersionLast="47" xr6:coauthVersionMax="47" xr10:uidLastSave="{00000000-0000-0000-0000-000000000000}"/>
  <bookViews>
    <workbookView xWindow="-120" yWindow="-120" windowWidth="20730" windowHeight="11040" tabRatio="754" xr2:uid="{1C5B654B-5B75-4EE6-A8BF-A5FABB0A8E25}"/>
  </bookViews>
  <sheets>
    <sheet name="Planilha_Orçamentaria_183" sheetId="1" r:id="rId1"/>
    <sheet name="Cronograma fisico financeiro" sheetId="4" r:id="rId2"/>
    <sheet name="Cronograma de desembolso" sheetId="5" state="hidden" r:id="rId3"/>
    <sheet name="Cron, de desembolso" sheetId="6" r:id="rId4"/>
    <sheet name="Memorial de calculo" sheetId="2" r:id="rId5"/>
    <sheet name="TRECHOS" sheetId="7" r:id="rId6"/>
    <sheet name="AÇO" sheetId="8" r:id="rId7"/>
  </sheets>
  <definedNames>
    <definedName name="_xlnm.Print_Area" localSheetId="3">'Cron, de desembolso'!$A$1:$J$71</definedName>
    <definedName name="_xlnm.Print_Area" localSheetId="2">'Cronograma de desembolso'!$A$1:$K$41</definedName>
    <definedName name="_xlnm.Print_Area" localSheetId="1">'Cronograma fisico financeiro'!$B$1:$L$35</definedName>
    <definedName name="_xlnm.Print_Area" localSheetId="4">'Memorial de calculo'!$C$6:$H$154</definedName>
    <definedName name="_xlnm.Print_Area" localSheetId="0">Planilha_Orçamentaria_183!$C$1:$J$54</definedName>
    <definedName name="_xlnm.Print_Area" localSheetId="5">TRECHOS!$B$5:$F$64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C23" i="4"/>
  <c r="L23" i="4"/>
  <c r="G138" i="2"/>
  <c r="G134" i="2"/>
  <c r="D55" i="2"/>
  <c r="D34" i="2"/>
  <c r="G126" i="2"/>
  <c r="G122" i="2"/>
  <c r="E116" i="2"/>
  <c r="H39" i="1" s="1"/>
  <c r="J39" i="1" s="1"/>
  <c r="K39" i="1" s="1"/>
  <c r="F114" i="2"/>
  <c r="C114" i="2"/>
  <c r="E111" i="2"/>
  <c r="H38" i="1" s="1"/>
  <c r="J9" i="8"/>
  <c r="K9" i="8" s="1"/>
  <c r="I12" i="8" s="1"/>
  <c r="C106" i="2"/>
  <c r="F106" i="2" s="1"/>
  <c r="H37" i="1" s="1"/>
  <c r="F101" i="2"/>
  <c r="H36" i="1" s="1"/>
  <c r="F96" i="2"/>
  <c r="H35" i="1" s="1"/>
  <c r="F91" i="2"/>
  <c r="H34" i="1" s="1"/>
  <c r="J8" i="8"/>
  <c r="K8" i="8" s="1"/>
  <c r="E9" i="8"/>
  <c r="C12" i="8" s="1"/>
  <c r="E8" i="8"/>
  <c r="C11" i="8" s="1"/>
  <c r="G129" i="2" l="1"/>
  <c r="H40" i="1" s="1"/>
  <c r="G141" i="2"/>
  <c r="H41" i="1" s="1"/>
  <c r="J41" i="1" s="1"/>
  <c r="K41" i="1" s="1"/>
  <c r="I11" i="8"/>
  <c r="C143" i="2"/>
  <c r="D143" i="2"/>
  <c r="E143" i="2"/>
  <c r="F143" i="2"/>
  <c r="C99" i="2"/>
  <c r="D99" i="2"/>
  <c r="E99" i="2"/>
  <c r="F99" i="2"/>
  <c r="C104" i="2"/>
  <c r="D104" i="2"/>
  <c r="E104" i="2"/>
  <c r="F104" i="2"/>
  <c r="C109" i="2"/>
  <c r="D109" i="2"/>
  <c r="E109" i="2"/>
  <c r="F109" i="2"/>
  <c r="C119" i="2"/>
  <c r="D119" i="2"/>
  <c r="E119" i="2"/>
  <c r="F119" i="2"/>
  <c r="C131" i="2"/>
  <c r="D131" i="2"/>
  <c r="E131" i="2"/>
  <c r="F131" i="2"/>
  <c r="F94" i="2"/>
  <c r="E94" i="2"/>
  <c r="D94" i="2"/>
  <c r="C94" i="2"/>
  <c r="E89" i="2"/>
  <c r="D89" i="2"/>
  <c r="F89" i="2"/>
  <c r="C89" i="2"/>
  <c r="J34" i="1"/>
  <c r="K34" i="1" s="1"/>
  <c r="J40" i="1"/>
  <c r="K40" i="1" s="1"/>
  <c r="J38" i="1"/>
  <c r="K38" i="1" s="1"/>
  <c r="J37" i="1"/>
  <c r="K37" i="1" s="1"/>
  <c r="J36" i="1"/>
  <c r="K36" i="1" s="1"/>
  <c r="J42" i="1"/>
  <c r="L42" i="1" s="1"/>
  <c r="J35" i="1"/>
  <c r="I33" i="1"/>
  <c r="G62" i="2"/>
  <c r="D21" i="7" s="1"/>
  <c r="G63" i="2"/>
  <c r="D31" i="7" s="1"/>
  <c r="G64" i="2"/>
  <c r="D41" i="7" s="1"/>
  <c r="G61" i="2"/>
  <c r="D11" i="7" s="1"/>
  <c r="D50" i="7"/>
  <c r="D48" i="7"/>
  <c r="D20" i="7"/>
  <c r="D10" i="7"/>
  <c r="G42" i="2"/>
  <c r="D19" i="7" s="1"/>
  <c r="G43" i="2"/>
  <c r="D29" i="7" s="1"/>
  <c r="G44" i="2"/>
  <c r="D39" i="7" s="1"/>
  <c r="G41" i="2"/>
  <c r="D9" i="7" s="1"/>
  <c r="D86" i="2"/>
  <c r="G86" i="2" s="1"/>
  <c r="D43" i="7" s="1"/>
  <c r="D85" i="2"/>
  <c r="G85" i="2" s="1"/>
  <c r="D33" i="7" s="1"/>
  <c r="D84" i="2"/>
  <c r="G84" i="2" s="1"/>
  <c r="D23" i="7" s="1"/>
  <c r="D83" i="2"/>
  <c r="G83" i="2" s="1"/>
  <c r="D13" i="7" s="1"/>
  <c r="B12" i="4"/>
  <c r="B11" i="4"/>
  <c r="D24" i="2"/>
  <c r="G24" i="2" s="1"/>
  <c r="D37" i="7" s="1"/>
  <c r="D23" i="2"/>
  <c r="G23" i="2" s="1"/>
  <c r="D27" i="7" s="1"/>
  <c r="D22" i="2"/>
  <c r="G22" i="2" s="1"/>
  <c r="D17" i="7" s="1"/>
  <c r="G21" i="2"/>
  <c r="D47" i="7" s="1"/>
  <c r="D20" i="2"/>
  <c r="G20" i="2" s="1"/>
  <c r="D7" i="7" s="1"/>
  <c r="J47" i="6"/>
  <c r="F46" i="6" s="1"/>
  <c r="J46" i="6" s="1"/>
  <c r="J45" i="6"/>
  <c r="F44" i="6" s="1"/>
  <c r="J44" i="6" s="1"/>
  <c r="J43" i="6"/>
  <c r="F42" i="6" s="1"/>
  <c r="J42" i="6" s="1"/>
  <c r="J41" i="6"/>
  <c r="F40" i="6" s="1"/>
  <c r="J40" i="6" s="1"/>
  <c r="J39" i="6"/>
  <c r="F38" i="6" s="1"/>
  <c r="J38" i="6" s="1"/>
  <c r="J37" i="6"/>
  <c r="F36" i="6" s="1"/>
  <c r="J36" i="6" s="1"/>
  <c r="J35" i="6"/>
  <c r="F34" i="6"/>
  <c r="J34" i="6" s="1"/>
  <c r="J33" i="6"/>
  <c r="F32" i="6" s="1"/>
  <c r="J32" i="6" s="1"/>
  <c r="J31" i="6"/>
  <c r="F30" i="6" s="1"/>
  <c r="J30" i="6" s="1"/>
  <c r="J29" i="6"/>
  <c r="F28" i="6" s="1"/>
  <c r="J28" i="6" s="1"/>
  <c r="J27" i="6"/>
  <c r="F26" i="6" s="1"/>
  <c r="J26" i="6" s="1"/>
  <c r="G13" i="6"/>
  <c r="H9" i="6" s="1"/>
  <c r="K33" i="1" l="1"/>
  <c r="L24" i="4" s="1"/>
  <c r="J33" i="1"/>
  <c r="D63" i="7"/>
  <c r="G87" i="2"/>
  <c r="H31" i="1" s="1"/>
  <c r="G65" i="2"/>
  <c r="K35" i="1"/>
  <c r="D57" i="7"/>
  <c r="D59" i="7"/>
  <c r="D61" i="7"/>
  <c r="G45" i="2"/>
  <c r="G25" i="2"/>
  <c r="H18" i="1" s="1"/>
  <c r="J18" i="1" s="1"/>
  <c r="K18" i="1" s="1"/>
  <c r="D38" i="7"/>
  <c r="D33" i="2"/>
  <c r="D28" i="7" s="1"/>
  <c r="D32" i="2"/>
  <c r="D18" i="7" s="1"/>
  <c r="D30" i="2"/>
  <c r="D8" i="7" s="1"/>
  <c r="D40" i="7"/>
  <c r="D54" i="2"/>
  <c r="D30" i="7" s="1"/>
  <c r="K45" i="1"/>
  <c r="K44" i="1" s="1"/>
  <c r="D81" i="2"/>
  <c r="G71" i="2"/>
  <c r="D52" i="7" s="1"/>
  <c r="D74" i="2"/>
  <c r="G74" i="2" s="1"/>
  <c r="D42" i="7" s="1"/>
  <c r="D73" i="2"/>
  <c r="G73" i="2" s="1"/>
  <c r="D32" i="7" s="1"/>
  <c r="D72" i="2"/>
  <c r="G72" i="2" s="1"/>
  <c r="D22" i="7" s="1"/>
  <c r="D70" i="2"/>
  <c r="G70" i="2" s="1"/>
  <c r="D12" i="7" s="1"/>
  <c r="C8" i="2"/>
  <c r="H17" i="1"/>
  <c r="J17" i="1" s="1"/>
  <c r="D65" i="2"/>
  <c r="C21" i="4"/>
  <c r="C19" i="4"/>
  <c r="C17" i="4"/>
  <c r="F81" i="2"/>
  <c r="C81" i="2"/>
  <c r="D68" i="2"/>
  <c r="C68" i="2"/>
  <c r="F68" i="2"/>
  <c r="D59" i="2"/>
  <c r="F59" i="2"/>
  <c r="C59" i="2"/>
  <c r="D49" i="2"/>
  <c r="F49" i="2"/>
  <c r="D39" i="2"/>
  <c r="F39" i="2"/>
  <c r="C49" i="2"/>
  <c r="C39" i="2"/>
  <c r="C28" i="2"/>
  <c r="C18" i="2"/>
  <c r="C13" i="2"/>
  <c r="D28" i="2"/>
  <c r="F28" i="2"/>
  <c r="D18" i="2"/>
  <c r="F18" i="2"/>
  <c r="D13" i="2"/>
  <c r="F13" i="2"/>
  <c r="K24" i="5"/>
  <c r="E25" i="5"/>
  <c r="K20" i="5"/>
  <c r="K18" i="5"/>
  <c r="K16" i="5"/>
  <c r="B20" i="5"/>
  <c r="B18" i="5"/>
  <c r="B16" i="5"/>
  <c r="L21" i="4"/>
  <c r="L19" i="4"/>
  <c r="L17" i="4"/>
  <c r="G20" i="1"/>
  <c r="I20" i="1"/>
  <c r="J20" i="1"/>
  <c r="H24" i="4" l="1"/>
  <c r="E25" i="6"/>
  <c r="J25" i="6" s="1"/>
  <c r="F24" i="6" s="1"/>
  <c r="J24" i="6" s="1"/>
  <c r="J24" i="4"/>
  <c r="D24" i="4"/>
  <c r="F24" i="4"/>
  <c r="G24" i="4"/>
  <c r="I24" i="4"/>
  <c r="K24" i="4"/>
  <c r="E24" i="4"/>
  <c r="D60" i="7"/>
  <c r="D58" i="7"/>
  <c r="G78" i="2"/>
  <c r="H24" i="1"/>
  <c r="J24" i="1" s="1"/>
  <c r="D62" i="7"/>
  <c r="G47" i="2"/>
  <c r="H22" i="1" s="1"/>
  <c r="G77" i="2"/>
  <c r="D35" i="2"/>
  <c r="H19" i="1" s="1"/>
  <c r="D56" i="2"/>
  <c r="H23" i="1" s="1"/>
  <c r="J23" i="1" s="1"/>
  <c r="G75" i="2"/>
  <c r="G79" i="2" l="1"/>
  <c r="H25" i="1" s="1"/>
  <c r="J25" i="1" s="1"/>
  <c r="J22" i="1"/>
  <c r="J19" i="1"/>
  <c r="J31" i="1"/>
  <c r="K17" i="1"/>
  <c r="I30" i="1"/>
  <c r="J29" i="1"/>
  <c r="I29" i="1"/>
  <c r="G29" i="1"/>
  <c r="F29" i="1"/>
  <c r="I21" i="1"/>
  <c r="I16" i="1"/>
  <c r="J21" i="1" l="1"/>
  <c r="K22" i="1"/>
  <c r="K19" i="1"/>
  <c r="K16" i="1" s="1"/>
  <c r="L18" i="4" s="1"/>
  <c r="J16" i="1"/>
  <c r="J30" i="1"/>
  <c r="K25" i="1"/>
  <c r="E19" i="6" l="1"/>
  <c r="J19" i="6" s="1"/>
  <c r="F18" i="6" s="1"/>
  <c r="J18" i="6" s="1"/>
  <c r="J44" i="1"/>
  <c r="J45" i="1" s="1"/>
  <c r="J46" i="1" s="1"/>
  <c r="P45" i="1" s="1"/>
  <c r="E50" i="6" s="1"/>
  <c r="J50" i="6" s="1"/>
  <c r="K31" i="1"/>
  <c r="K30" i="1" s="1"/>
  <c r="L22" i="4" s="1"/>
  <c r="K24" i="1"/>
  <c r="J18" i="4" l="1"/>
  <c r="K18" i="4"/>
  <c r="F18" i="4"/>
  <c r="D18" i="4"/>
  <c r="G18" i="4"/>
  <c r="K17" i="5"/>
  <c r="G17" i="5" s="1"/>
  <c r="I18" i="4"/>
  <c r="E18" i="4"/>
  <c r="H18" i="4"/>
  <c r="I17" i="5"/>
  <c r="K21" i="5"/>
  <c r="I21" i="5" s="1"/>
  <c r="E23" i="6"/>
  <c r="E22" i="4"/>
  <c r="J22" i="4"/>
  <c r="G22" i="4"/>
  <c r="H22" i="4"/>
  <c r="D22" i="4"/>
  <c r="F22" i="4"/>
  <c r="I22" i="4"/>
  <c r="K22" i="4"/>
  <c r="E17" i="5" l="1"/>
  <c r="E21" i="5"/>
  <c r="G21" i="5"/>
  <c r="J23" i="6"/>
  <c r="F22" i="6" s="1"/>
  <c r="J22" i="6" s="1"/>
  <c r="K23" i="1"/>
  <c r="K21" i="1" s="1"/>
  <c r="L20" i="4" s="1"/>
  <c r="L25" i="4" s="1"/>
  <c r="K19" i="5" l="1"/>
  <c r="I19" i="5" s="1"/>
  <c r="E21" i="6"/>
  <c r="K20" i="4"/>
  <c r="K25" i="4" s="1"/>
  <c r="D20" i="4"/>
  <c r="D25" i="4" s="1"/>
  <c r="E20" i="4"/>
  <c r="E25" i="4" s="1"/>
  <c r="J20" i="4"/>
  <c r="J25" i="4" s="1"/>
  <c r="I20" i="4"/>
  <c r="I25" i="4" s="1"/>
  <c r="H20" i="4"/>
  <c r="H25" i="4" s="1"/>
  <c r="G20" i="4"/>
  <c r="G25" i="4" s="1"/>
  <c r="F20" i="4"/>
  <c r="F25" i="4" s="1"/>
  <c r="G25" i="5"/>
  <c r="K23" i="5"/>
  <c r="K25" i="5"/>
  <c r="G26" i="5" s="1"/>
  <c r="E19" i="5" l="1"/>
  <c r="G19" i="5"/>
  <c r="J21" i="6"/>
  <c r="F20" i="6" s="1"/>
  <c r="J20" i="6" s="1"/>
  <c r="E51" i="6"/>
  <c r="I26" i="5"/>
  <c r="E26" i="5"/>
  <c r="J51" i="6" l="1"/>
  <c r="E52" i="6" s="1"/>
  <c r="J52" i="6" s="1"/>
  <c r="E49" i="6"/>
  <c r="J49" i="6" s="1"/>
  <c r="K2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Fauler Lazari</author>
  </authors>
  <commentList>
    <comment ref="G13" authorId="0" shapeId="0" xr:uid="{CC4EA19D-84FE-4ACD-8F85-04487ABDFCD1}">
      <text>
        <r>
          <rPr>
            <b/>
            <sz val="12"/>
            <color indexed="16"/>
            <rFont val="Segoe UI"/>
            <family val="2"/>
          </rPr>
          <t>Cálculo automático.</t>
        </r>
      </text>
    </comment>
    <comment ref="H15" authorId="0" shapeId="0" xr:uid="{DCC4381C-ABC1-4F10-9837-2A201BB6862A}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B18" authorId="0" shapeId="0" xr:uid="{E7B2E78A-6431-4BA7-A521-8D02DE70A176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18" authorId="0" shapeId="0" xr:uid="{78B3A22B-2F9C-408D-AC2F-331D74B42F8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19" authorId="0" shapeId="0" xr:uid="{CA79CEDD-5B3B-428E-86D4-9AABFCB971C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0" authorId="0" shapeId="0" xr:uid="{DA7FF50C-C3C6-43EE-A091-5EEDE41B46D3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0" authorId="0" shapeId="0" xr:uid="{F0DB82E0-2EB0-4A92-9F12-21D19A9E0E34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1" authorId="0" shapeId="0" xr:uid="{3E36CD37-BE04-43A9-8BE3-52B0D16CA01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2" authorId="0" shapeId="0" xr:uid="{7564BB8D-36F5-4054-AEE4-9F90664450AF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2" authorId="0" shapeId="0" xr:uid="{70432F98-C5AE-4315-9427-72A0C22C8B4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3" authorId="0" shapeId="0" xr:uid="{D4BA4BBE-3A9E-4E9D-B98D-706FC6928A4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4" authorId="0" shapeId="0" xr:uid="{0340000D-5573-496B-A52F-AAAD3EE18ABB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4" authorId="0" shapeId="0" xr:uid="{49239414-3ACF-46FD-878C-644A83182FD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5" authorId="0" shapeId="0" xr:uid="{C912E728-FF89-4D42-8A8A-8A2657FFD8B3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6" authorId="0" shapeId="0" xr:uid="{5894A8E2-CBDD-4C4A-9F6F-715DA56D5FB0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6" authorId="0" shapeId="0" xr:uid="{0BD8851F-9F7A-4051-8270-6F742E976798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7" authorId="0" shapeId="0" xr:uid="{1A29114D-F2FE-46B8-AA53-667F5182C3A4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8" authorId="0" shapeId="0" xr:uid="{056CE8E9-93EB-4DAC-BCAF-0D6377680349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8" authorId="0" shapeId="0" xr:uid="{F68BB4D5-B8E0-4561-834D-39F2145FA57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9" authorId="0" shapeId="0" xr:uid="{10F8294B-416E-4D0A-A036-E104D2DC2EC0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0" authorId="0" shapeId="0" xr:uid="{8B909C13-6BA7-4D22-BED6-3BD2F034BE9C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0" authorId="0" shapeId="0" xr:uid="{AFE92FEE-0CF5-4E43-B25B-9EB3FB3C964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1" authorId="0" shapeId="0" xr:uid="{10281DD8-F7CA-4CC7-AAA9-906915E63496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2" authorId="0" shapeId="0" xr:uid="{2432E0A9-95E3-4519-B0D5-F145418CE61B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2" authorId="0" shapeId="0" xr:uid="{EBA9E0E9-9B55-41FB-8A53-A417E20CAEAD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3" authorId="0" shapeId="0" xr:uid="{4B03FCEE-5DC3-40D1-8C92-C5BFBA6B4C66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4" authorId="0" shapeId="0" xr:uid="{3611C18C-2C65-4BDE-B417-0D9DB81D6A46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4" authorId="0" shapeId="0" xr:uid="{4587589D-884B-4EAE-9368-3F5B47CBF78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5" authorId="0" shapeId="0" xr:uid="{C07011EA-0E44-4022-9FE4-68E0509DAD9A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6" authorId="0" shapeId="0" xr:uid="{D8712F73-3C81-4310-96A0-7F4AEDECF2BE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6" authorId="0" shapeId="0" xr:uid="{DD45DDEA-C8E8-4521-9A0C-A916B76A69A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7" authorId="0" shapeId="0" xr:uid="{03AABFAF-315D-48E1-B414-D42C657141C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8" authorId="0" shapeId="0" xr:uid="{C9DC60DD-78A7-4C24-AF68-1BB424D5A440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8" authorId="0" shapeId="0" xr:uid="{089EBEBA-8AD5-4D02-839E-6E340C3E6E9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9" authorId="0" shapeId="0" xr:uid="{E3724827-C9A5-48B0-B235-FD5D08AD3E5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0" authorId="0" shapeId="0" xr:uid="{95202933-B6AC-4162-A30E-EA8A60AE890D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0" authorId="0" shapeId="0" xr:uid="{5B4D1491-3DD8-4F77-A2AE-667B097E2841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1" authorId="0" shapeId="0" xr:uid="{F503E606-60C8-4F83-9CD5-52D3340AA782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2" authorId="0" shapeId="0" xr:uid="{59C97D8D-619A-4DF4-A723-247C9569643E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2" authorId="0" shapeId="0" xr:uid="{F5EFAB39-2E78-4AE1-B90C-F9713BDB8871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3" authorId="0" shapeId="0" xr:uid="{D3D4B7C7-0E43-4928-850B-5B96CAEBBD4E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4" authorId="0" shapeId="0" xr:uid="{71E5DE22-F9F7-4046-A752-AB148A6BE85E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4" authorId="0" shapeId="0" xr:uid="{38141573-642C-44A0-8EA4-424C34209029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5" authorId="0" shapeId="0" xr:uid="{A8B2C622-352D-4679-BCDE-41BB2E040B7A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6" authorId="0" shapeId="0" xr:uid="{051EEBBF-E147-4A08-A533-C9708E85A1F2}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6" authorId="0" shapeId="0" xr:uid="{EC030B89-9CA7-493F-AE23-7829CC5514B3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7" authorId="0" shapeId="0" xr:uid="{2AFB9568-8FDF-4611-8CA3-2CA27E8DE090}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9" authorId="0" shapeId="0" xr:uid="{D69DB624-5380-4EE9-8EBD-16F9C549CE23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0" authorId="0" shapeId="0" xr:uid="{5FCB893C-04C1-4962-806E-FB331095B3D3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1" authorId="0" shapeId="0" xr:uid="{758C4549-10F8-4230-B0EB-CB2C42A033A1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2" authorId="0" shapeId="0" xr:uid="{81EE24E2-2FD9-4C07-84F3-75021EB5D629}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</commentList>
</comments>
</file>

<file path=xl/sharedStrings.xml><?xml version="1.0" encoding="utf-8"?>
<sst xmlns="http://schemas.openxmlformats.org/spreadsheetml/2006/main" count="662" uniqueCount="221">
  <si>
    <t>CDHU</t>
  </si>
  <si>
    <t>FONTE</t>
  </si>
  <si>
    <t>ITEM</t>
  </si>
  <si>
    <t>CÓDIGO</t>
  </si>
  <si>
    <t>DESCRIÇÃO</t>
  </si>
  <si>
    <t>UNID.</t>
  </si>
  <si>
    <t>QUANT.</t>
  </si>
  <si>
    <t>VALOR UNIT.</t>
  </si>
  <si>
    <t>TOTAL</t>
  </si>
  <si>
    <t>1.0</t>
  </si>
  <si>
    <t>SERVIÇOS PRELIMINARES</t>
  </si>
  <si>
    <t>1.1</t>
  </si>
  <si>
    <t>0208020</t>
  </si>
  <si>
    <t>Placa de identificação para obra</t>
  </si>
  <si>
    <t>M2</t>
  </si>
  <si>
    <t>2.0</t>
  </si>
  <si>
    <t>2.1</t>
  </si>
  <si>
    <t>2.2</t>
  </si>
  <si>
    <t>2.3</t>
  </si>
  <si>
    <t>3.0</t>
  </si>
  <si>
    <t>TOTAL GERAL</t>
  </si>
  <si>
    <t>3.1</t>
  </si>
  <si>
    <t>CÓD. SERVIÇO</t>
  </si>
  <si>
    <t>DESCRIÇÃO DO SERVIÇO</t>
  </si>
  <si>
    <t>Placa principal: 3,00m*1,50m = 4,50m²</t>
  </si>
  <si>
    <t>Placa de apoio: 1,00m*1,50m = 1,50m²</t>
  </si>
  <si>
    <t>TOTAL:</t>
  </si>
  <si>
    <t/>
  </si>
  <si>
    <t>BDI</t>
  </si>
  <si>
    <t>PREFEITURA MUNICIPAL DE ICÉM - SP</t>
  </si>
  <si>
    <t>PLANILHA ORÇAMENTÁRIA</t>
  </si>
  <si>
    <t>RESP. TÉCNICO</t>
  </si>
  <si>
    <t>CREA SP: 5069917225</t>
  </si>
  <si>
    <t>ALLAN VICTOR C. ARANTES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</si>
  <si>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</si>
  <si>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</si>
  <si>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</si>
  <si>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</si>
  <si>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</si>
  <si>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</si>
  <si>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</si>
  <si>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</si>
  <si>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SERVIÇOS</t>
  </si>
  <si>
    <t>%</t>
  </si>
  <si>
    <t>CRONOGRAMA FÍSICO FINANCEIRO</t>
  </si>
  <si>
    <t xml:space="preserve">                                       PERÍODO
SERVIÇOS</t>
  </si>
  <si>
    <t>MEMORIAL DE CALCULO</t>
  </si>
  <si>
    <t xml:space="preserve">CRONOGRAMA FÍSICO - DESEMBOLSO E APLICAÇÃO DOS RECURSOS </t>
  </si>
  <si>
    <t>MUNICÍPIO:</t>
  </si>
  <si>
    <t>BOLETIM Nº.</t>
  </si>
  <si>
    <t xml:space="preserve">DATA BASE: </t>
  </si>
  <si>
    <t>OBJETO:</t>
  </si>
  <si>
    <t>PROCESSO:</t>
  </si>
  <si>
    <t>PRAZO PROPOSTO</t>
  </si>
  <si>
    <t>CONVÊNIO:</t>
  </si>
  <si>
    <t>UNIDADE</t>
  </si>
  <si>
    <t>1a. ETAPA</t>
  </si>
  <si>
    <t>2a. ETAPA</t>
  </si>
  <si>
    <t>3a. ETAPA</t>
  </si>
  <si>
    <t>R$</t>
  </si>
  <si>
    <t xml:space="preserve">RECURSOS ESTADUAIS </t>
  </si>
  <si>
    <t xml:space="preserve">RECURSOS PRÓPRIOS </t>
  </si>
  <si>
    <t xml:space="preserve">T O T A L  </t>
  </si>
  <si>
    <t>PORCENTAGEM DE SERVIÇOS</t>
  </si>
  <si>
    <t>Icém - SP</t>
  </si>
  <si>
    <t>Sinalização Turística</t>
  </si>
  <si>
    <r>
      <t xml:space="preserve">INÍCIO: </t>
    </r>
    <r>
      <rPr>
        <sz val="10"/>
        <rFont val="Arial"/>
        <family val="2"/>
      </rPr>
      <t xml:space="preserve"> 180 dias após data da assinatura do convênio </t>
    </r>
  </si>
  <si>
    <r>
      <t>OBSERVAÇÃO -  CONFORME</t>
    </r>
    <r>
      <rPr>
        <sz val="10"/>
        <rFont val="Arial"/>
        <family val="2"/>
      </rPr>
      <t xml:space="preserve">: 
1. Decreto nº64.757 de 24/01/2020, as parcelas deverão ser distribuídas na seguinte conformidade: 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>a) Convênios até R$300.000,00 (trezentos mil reais), em parcela única, liberada em seguida à expedição da ordem de serviços;
b) Convênios acima de R$300.000,00 (trezentos mil reais) e até R$500.000,00 (quinhentos mil reais), duas parcelas. Sendo a primeira até R$300.000,00 (trezentos mil reais), liberada em seguida à expedição da ordem de serviços;
c) Convênios acima de R$500.000,00 (quinhentos mil reais), quantas parcelas forem necessárias (mais de duas parcelas). Sendo a primeira até R$300.000,00 (trezentos mil reais), liberada em seguida à expedição da ordem de serviços.</t>
    </r>
  </si>
  <si>
    <t>PERIODO: 360 dias</t>
  </si>
  <si>
    <t xml:space="preserve"> PERÍODO = 90 dias para execução + 30 dias para vistoria e análise contábil da prestação de contas referente à 1ª etapa + 180 dias para análise final, aprovos e encerramento</t>
  </si>
  <si>
    <t>PERIODO:</t>
  </si>
  <si>
    <t>PERIODO: 300 dias</t>
  </si>
  <si>
    <t>-</t>
  </si>
  <si>
    <r>
      <rPr>
        <sz val="9"/>
        <rFont val="Arial"/>
        <family val="2"/>
      </rPr>
      <t>PERÍODO = 180 dias para licitação +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150 dias para a entrega da documentação a STV/DADETUR + 30 dias para liberação </t>
    </r>
  </si>
  <si>
    <r>
      <t>FINAL: 660</t>
    </r>
    <r>
      <rPr>
        <sz val="10"/>
        <rFont val="Arial"/>
        <family val="2"/>
      </rPr>
      <t xml:space="preserve"> dias a partir da data de assinatura do convênio</t>
    </r>
  </si>
  <si>
    <t>1.2</t>
  </si>
  <si>
    <t>1.3</t>
  </si>
  <si>
    <t>0301240</t>
  </si>
  <si>
    <t>Demolição mecanizada de pavimento ou piso em concreto, inclusive fragmentação, carregamento, transporte até 1 quilômetro e descarregamento</t>
  </si>
  <si>
    <t>M3</t>
  </si>
  <si>
    <t>3004100</t>
  </si>
  <si>
    <t>Piso tátil de concreto, alerta / direcional, intertravado, espessura de 6 cm, com rejunte em areia</t>
  </si>
  <si>
    <t>PINTURA</t>
  </si>
  <si>
    <t>3311050</t>
  </si>
  <si>
    <t>Esmalte à base água em superfície metálica, inclusive preparo</t>
  </si>
  <si>
    <t>5404340</t>
  </si>
  <si>
    <t>PASSEIO</t>
  </si>
  <si>
    <t>Pavimentação em lajota de concreto 35 MPa, espessura 6 cm, cor natural, tipos: raquete, retangular, sextavado e 16 faces, com rejunte em areia</t>
  </si>
  <si>
    <t>5406020</t>
  </si>
  <si>
    <t>Guia pré-moldada curva tipo PMSP 100 - fck 25 MPa</t>
  </si>
  <si>
    <t>2.4</t>
  </si>
  <si>
    <t>2.6</t>
  </si>
  <si>
    <t>2.7</t>
  </si>
  <si>
    <t>1705070</t>
  </si>
  <si>
    <t>Piso com requadro em concreto simples com controle de fck= 20 MPa</t>
  </si>
  <si>
    <t>M</t>
  </si>
  <si>
    <t xml:space="preserve">FONTE: CDHU BOLETIM 183 SD </t>
  </si>
  <si>
    <t xml:space="preserve">CDHU 183 SD </t>
  </si>
  <si>
    <t>LOCAL: AVENIDA JORGE SALUSTIANO DE JESUS</t>
  </si>
  <si>
    <t>Trecho 01</t>
  </si>
  <si>
    <t>Rotatoria</t>
  </si>
  <si>
    <t>Trecho 02</t>
  </si>
  <si>
    <t>Trecho 03</t>
  </si>
  <si>
    <t>Trecho 04</t>
  </si>
  <si>
    <t xml:space="preserve">Total: </t>
  </si>
  <si>
    <t>m²</t>
  </si>
  <si>
    <t>m</t>
  </si>
  <si>
    <t>Piso podo tátil 20 x 20 cm</t>
  </si>
  <si>
    <t xml:space="preserve">un </t>
  </si>
  <si>
    <t>m³</t>
  </si>
  <si>
    <t>Área em m² do gradil por metro</t>
  </si>
  <si>
    <t>Total:</t>
  </si>
  <si>
    <t>Suprimindo os itens 2.1 e 2.4</t>
  </si>
  <si>
    <t>Trechos</t>
  </si>
  <si>
    <t>Comprimento</t>
  </si>
  <si>
    <t>Largura do passeio</t>
  </si>
  <si>
    <t>2,00 m</t>
  </si>
  <si>
    <t>1,00 m</t>
  </si>
  <si>
    <t>Área</t>
  </si>
  <si>
    <t>Piso tátil de concreto, alerta / direcional, intertravado</t>
  </si>
  <si>
    <t xml:space="preserve">Piso com requadro em concreto simples </t>
  </si>
  <si>
    <t>Total de pavimentação em lajota de concreto</t>
  </si>
  <si>
    <t>Icém</t>
  </si>
  <si>
    <r>
      <t xml:space="preserve">INÍCIO: </t>
    </r>
    <r>
      <rPr>
        <sz val="11"/>
        <rFont val="Calibri"/>
        <family val="2"/>
        <scheme val="minor"/>
      </rPr>
      <t xml:space="preserve"> </t>
    </r>
  </si>
  <si>
    <t xml:space="preserve">180 dias da data da assinatura do convênio </t>
  </si>
  <si>
    <r>
      <t>FINAL:</t>
    </r>
    <r>
      <rPr>
        <b/>
        <u/>
        <sz val="10"/>
        <color rgb="FFFF0000"/>
        <rFont val="Calibri"/>
        <family val="2"/>
        <scheme val="minor"/>
      </rPr>
      <t/>
    </r>
  </si>
  <si>
    <t>1ª   ETAPA</t>
  </si>
  <si>
    <t>PERÍODO</t>
  </si>
  <si>
    <t>dias</t>
  </si>
  <si>
    <t>Licitação:</t>
  </si>
  <si>
    <t>Execução:</t>
  </si>
  <si>
    <t>Vistoria:</t>
  </si>
  <si>
    <t>Encerramento:</t>
  </si>
  <si>
    <t>Descrição do Item</t>
  </si>
  <si>
    <t>Lançar o valor mesmo que ZERO</t>
  </si>
  <si>
    <t>Portaria: 448/2021</t>
  </si>
  <si>
    <t>CDHU 183 SD</t>
  </si>
  <si>
    <t>TRECHO 01</t>
  </si>
  <si>
    <t>Demolição mecanizada de pavimento ou piso em concreto</t>
  </si>
  <si>
    <t>Pavimentação em lajota de concreto 35 MPa, espessura 6 cm, cor natural</t>
  </si>
  <si>
    <t>TRECHO 02</t>
  </si>
  <si>
    <t>TRECHO 03</t>
  </si>
  <si>
    <t>0440010</t>
  </si>
  <si>
    <t>transporte até 1 quilômetro e descarregamento</t>
  </si>
  <si>
    <t>Retirada manual de guia pré-moldada, inclusive limpeza, carregamento, transporte até 1 quilômetro e descarregamento</t>
  </si>
  <si>
    <t>Retirada manual de guia pré-moldada, inclusive limpeza</t>
  </si>
  <si>
    <t>TRECHO 04</t>
  </si>
  <si>
    <t>ROTATÓRIA</t>
  </si>
  <si>
    <t>Área de cada rampa</t>
  </si>
  <si>
    <t>Rampa com espessura de</t>
  </si>
  <si>
    <t>Volume total de concreto</t>
  </si>
  <si>
    <t>SOMATÓRIOS DOS TRECHOS</t>
  </si>
  <si>
    <t>Largura</t>
  </si>
  <si>
    <t>Soma das guias danificadas e locais onde serão instaladas as rampas de acessibilidade</t>
  </si>
  <si>
    <t>4.0</t>
  </si>
  <si>
    <t>4.1</t>
  </si>
  <si>
    <t>4.2</t>
  </si>
  <si>
    <t>4.3</t>
  </si>
  <si>
    <t>4.4</t>
  </si>
  <si>
    <t>PAISAGISMO</t>
  </si>
  <si>
    <t xml:space="preserve">UN </t>
  </si>
  <si>
    <t>4.5</t>
  </si>
  <si>
    <t>4.6</t>
  </si>
  <si>
    <t>0601020</t>
  </si>
  <si>
    <t>Escavação manual em solo de 1ª e 2ª categoria em campo aberto</t>
  </si>
  <si>
    <t>M³</t>
  </si>
  <si>
    <t>1118040</t>
  </si>
  <si>
    <t>Lastro de pedra britada</t>
  </si>
  <si>
    <t>0901020</t>
  </si>
  <si>
    <t>Forma em madeira comum para fundação</t>
  </si>
  <si>
    <t>M²</t>
  </si>
  <si>
    <t>Armadura em barra de aço CA-50 (A ou B) fyk = 500 MPa</t>
  </si>
  <si>
    <t>1001040</t>
  </si>
  <si>
    <t>KG</t>
  </si>
  <si>
    <t>Lançamento e adensamento de concreto ou massa em fundação</t>
  </si>
  <si>
    <t>1116040</t>
  </si>
  <si>
    <t>4.7</t>
  </si>
  <si>
    <t>4.8</t>
  </si>
  <si>
    <t>4.9</t>
  </si>
  <si>
    <t>1201021</t>
  </si>
  <si>
    <t>Broca em concreto armado diâmetro de 20 cm - completa</t>
  </si>
  <si>
    <t>AÇO</t>
  </si>
  <si>
    <t>DIAM (mm)</t>
  </si>
  <si>
    <t>C.TOTAL (m)</t>
  </si>
  <si>
    <t>PESO + 10% (kg)</t>
  </si>
  <si>
    <t>CA50</t>
  </si>
  <si>
    <t>CA60</t>
  </si>
  <si>
    <t>PESO TOTAL (kg)</t>
  </si>
  <si>
    <t>RESUMO DE AÇO - VIGAS BALDRAME</t>
  </si>
  <si>
    <t>RESUMO DE AÇO - TOTAL</t>
  </si>
  <si>
    <t>DIAM              (mm)</t>
  </si>
  <si>
    <t>KG/M</t>
  </si>
  <si>
    <t>Coluna pop</t>
  </si>
  <si>
    <t>Treliça H8L</t>
  </si>
  <si>
    <t>Malha Q61 3,40</t>
  </si>
  <si>
    <t>Concreto preparado no local, fck = 20 MPa</t>
  </si>
  <si>
    <t>1103090</t>
  </si>
  <si>
    <t>COTAÇÃO</t>
  </si>
  <si>
    <t>Quantidade</t>
  </si>
  <si>
    <t>1,50</t>
  </si>
  <si>
    <t>Altura</t>
  </si>
  <si>
    <t>Escavação manualem solo</t>
  </si>
  <si>
    <t>Viga baldrame</t>
  </si>
  <si>
    <t>CA-50</t>
  </si>
  <si>
    <t>Kg</t>
  </si>
  <si>
    <t>Viga baldrame confrome tabela de aço</t>
  </si>
  <si>
    <t>Armadura em barra de aço CA-60 (A ou B) fyk = 600 MPa</t>
  </si>
  <si>
    <t>1001060</t>
  </si>
  <si>
    <t>CA-60</t>
  </si>
  <si>
    <t xml:space="preserve">Estaca </t>
  </si>
  <si>
    <t>Diamentro</t>
  </si>
  <si>
    <t>Volume</t>
  </si>
  <si>
    <t>Volume de concreto                     (C-25) = 0,36 m³</t>
  </si>
  <si>
    <t>Volume de concreto                              (C-25) = 0,36m³</t>
  </si>
  <si>
    <t>ST-PRC-2021-00303-DM</t>
  </si>
  <si>
    <t>Letreio em aço carbono</t>
  </si>
  <si>
    <t>FONTE: CDHU BOLETIM 183 SD / COTAÇÃO</t>
  </si>
  <si>
    <t>OBJETO: REVITALIZAÇÃO, PAISAGISMO E IMPLANTAÇÃO DE ACESSIBILIDADE DA AV. JORGE SALUSTIANO DE JESUS</t>
  </si>
  <si>
    <t>Data base: 11/2021</t>
  </si>
  <si>
    <t>REVITALIZAÇÃO, PAISAGISMO E IMPLANTAÇÃO DE ACESSIBILIDADE DA AV. JORGE SALUSTIANO DE JESUS</t>
  </si>
  <si>
    <t>Cotação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</si>
</sst>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&quot;#,##0.00"/>
    <numFmt numFmtId="167" formatCode="_-[$R$-416]\ * #,##0.00_-;\-[$R$-416]\ * #,##0.00_-;_-[$R$-416]\ * &quot;-&quot;??_-;_-@_-"/>
    <numFmt numFmtId="168" formatCode="[$-416]mmmm\-yy;@"/>
    <numFmt numFmtId="169" formatCode="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.85"/>
      <color indexed="8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indexed="16"/>
      <name val="Segoe U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auto="1"/>
      </diagonal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20" fillId="0" borderId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3">
    <xf numFmtId="0" fontId="0" fillId="0" borderId="0" xfId="0"/>
    <xf numFmtId="4" fontId="2" fillId="0" borderId="0" xfId="2" applyNumberFormat="1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2" fontId="10" fillId="0" borderId="27" xfId="0" applyNumberFormat="1" applyFont="1" applyBorder="1" applyAlignment="1">
      <alignment vertical="center"/>
    </xf>
    <xf numFmtId="0" fontId="9" fillId="0" borderId="0" xfId="0" applyFont="1"/>
    <xf numFmtId="0" fontId="9" fillId="0" borderId="23" xfId="0" applyFont="1" applyBorder="1"/>
    <xf numFmtId="43" fontId="14" fillId="4" borderId="13" xfId="2" applyFont="1" applyFill="1" applyBorder="1" applyAlignment="1">
      <alignment horizontal="right" vertical="center"/>
    </xf>
    <xf numFmtId="0" fontId="14" fillId="0" borderId="1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center" vertical="center" wrapText="1"/>
    </xf>
    <xf numFmtId="43" fontId="14" fillId="0" borderId="17" xfId="2" applyFont="1" applyBorder="1" applyAlignment="1">
      <alignment horizontal="right" vertical="center"/>
    </xf>
    <xf numFmtId="43" fontId="14" fillId="0" borderId="18" xfId="2" applyFont="1" applyBorder="1" applyAlignment="1">
      <alignment horizontal="left" vertical="center" wrapText="1"/>
    </xf>
    <xf numFmtId="43" fontId="14" fillId="0" borderId="19" xfId="2" applyFont="1" applyBorder="1" applyAlignment="1">
      <alignment horizontal="right" vertical="center"/>
    </xf>
    <xf numFmtId="0" fontId="14" fillId="4" borderId="16" xfId="1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center" wrapText="1"/>
    </xf>
    <xf numFmtId="43" fontId="14" fillId="4" borderId="18" xfId="2" applyFont="1" applyFill="1" applyBorder="1" applyAlignment="1">
      <alignment horizontal="left" vertical="center" wrapText="1"/>
    </xf>
    <xf numFmtId="43" fontId="14" fillId="4" borderId="17" xfId="2" applyFont="1" applyFill="1" applyBorder="1" applyAlignment="1">
      <alignment horizontal="right" vertical="center"/>
    </xf>
    <xf numFmtId="10" fontId="16" fillId="4" borderId="2" xfId="4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3" fillId="0" borderId="0" xfId="0" applyFont="1" applyAlignment="1"/>
    <xf numFmtId="0" fontId="12" fillId="0" borderId="0" xfId="0" applyFont="1"/>
    <xf numFmtId="0" fontId="12" fillId="0" borderId="0" xfId="0" applyFont="1" applyAlignment="1">
      <alignment wrapText="1"/>
    </xf>
    <xf numFmtId="9" fontId="12" fillId="0" borderId="4" xfId="4" applyFont="1" applyBorder="1" applyAlignment="1">
      <alignment wrapText="1"/>
    </xf>
    <xf numFmtId="9" fontId="12" fillId="0" borderId="4" xfId="4" applyFont="1" applyBorder="1"/>
    <xf numFmtId="9" fontId="12" fillId="0" borderId="6" xfId="0" applyNumberFormat="1" applyFont="1" applyBorder="1"/>
    <xf numFmtId="43" fontId="12" fillId="0" borderId="8" xfId="0" applyNumberFormat="1" applyFont="1" applyBorder="1" applyAlignment="1">
      <alignment wrapText="1"/>
    </xf>
    <xf numFmtId="43" fontId="12" fillId="0" borderId="10" xfId="0" applyNumberFormat="1" applyFont="1" applyBorder="1"/>
    <xf numFmtId="43" fontId="12" fillId="0" borderId="39" xfId="0" applyNumberFormat="1" applyFont="1" applyBorder="1" applyAlignment="1">
      <alignment wrapText="1"/>
    </xf>
    <xf numFmtId="43" fontId="12" fillId="0" borderId="40" xfId="0" applyNumberFormat="1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7" fillId="0" borderId="41" xfId="6" applyFont="1" applyBorder="1" applyAlignment="1">
      <alignment horizontal="center"/>
    </xf>
    <xf numFmtId="0" fontId="17" fillId="0" borderId="28" xfId="6" applyFont="1" applyBorder="1" applyAlignment="1">
      <alignment horizontal="center"/>
    </xf>
    <xf numFmtId="0" fontId="17" fillId="0" borderId="0" xfId="6" applyFont="1"/>
    <xf numFmtId="0" fontId="10" fillId="0" borderId="0" xfId="6" applyFont="1"/>
    <xf numFmtId="0" fontId="10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4" fillId="5" borderId="17" xfId="6" applyFont="1" applyFill="1" applyBorder="1" applyAlignment="1">
      <alignment horizontal="right" vertical="center"/>
    </xf>
    <xf numFmtId="0" fontId="4" fillId="5" borderId="17" xfId="6" applyFont="1" applyFill="1" applyBorder="1" applyAlignment="1">
      <alignment horizontal="center" vertical="center" wrapText="1"/>
    </xf>
    <xf numFmtId="0" fontId="4" fillId="0" borderId="0" xfId="6" applyFont="1"/>
    <xf numFmtId="0" fontId="4" fillId="5" borderId="17" xfId="6" applyFont="1" applyFill="1" applyBorder="1" applyAlignment="1">
      <alignment horizontal="center" vertical="center"/>
    </xf>
    <xf numFmtId="14" fontId="17" fillId="0" borderId="27" xfId="6" applyNumberFormat="1" applyFont="1" applyBorder="1"/>
    <xf numFmtId="0" fontId="17" fillId="0" borderId="0" xfId="6" applyFont="1" applyAlignment="1">
      <alignment horizontal="center"/>
    </xf>
    <xf numFmtId="0" fontId="4" fillId="5" borderId="18" xfId="6" applyFont="1" applyFill="1" applyBorder="1" applyAlignment="1">
      <alignment horizontal="centerContinuous" vertical="center"/>
    </xf>
    <xf numFmtId="0" fontId="4" fillId="5" borderId="22" xfId="6" applyFont="1" applyFill="1" applyBorder="1" applyAlignment="1">
      <alignment horizontal="centerContinuous" vertical="center"/>
    </xf>
    <xf numFmtId="0" fontId="21" fillId="0" borderId="18" xfId="6" applyFont="1" applyBorder="1" applyAlignment="1">
      <alignment horizontal="center" vertical="center" wrapText="1"/>
    </xf>
    <xf numFmtId="0" fontId="17" fillId="0" borderId="14" xfId="6" applyFont="1" applyBorder="1" applyAlignment="1">
      <alignment vertical="center"/>
    </xf>
    <xf numFmtId="4" fontId="4" fillId="1" borderId="22" xfId="6" applyNumberFormat="1" applyFont="1" applyFill="1" applyBorder="1" applyAlignment="1">
      <alignment horizontal="center"/>
    </xf>
    <xf numFmtId="0" fontId="4" fillId="2" borderId="0" xfId="6" applyFont="1" applyFill="1" applyAlignment="1">
      <alignment horizontal="right"/>
    </xf>
    <xf numFmtId="167" fontId="17" fillId="0" borderId="0" xfId="8" applyNumberFormat="1" applyFont="1" applyBorder="1" applyAlignment="1">
      <alignment horizontal="center"/>
    </xf>
    <xf numFmtId="0" fontId="4" fillId="0" borderId="0" xfId="6" applyFont="1" applyAlignment="1">
      <alignment vertical="top" wrapText="1"/>
    </xf>
    <xf numFmtId="0" fontId="17" fillId="0" borderId="0" xfId="6" applyFont="1" applyAlignment="1">
      <alignment vertical="top" wrapText="1"/>
    </xf>
    <xf numFmtId="0" fontId="17" fillId="0" borderId="17" xfId="6" applyFont="1" applyBorder="1" applyAlignment="1">
      <alignment horizontal="center" vertical="center" wrapText="1"/>
    </xf>
    <xf numFmtId="168" fontId="17" fillId="0" borderId="17" xfId="6" applyNumberFormat="1" applyFont="1" applyBorder="1" applyAlignment="1">
      <alignment horizontal="center" vertical="center" wrapText="1"/>
    </xf>
    <xf numFmtId="9" fontId="17" fillId="0" borderId="14" xfId="4" applyFont="1" applyBorder="1" applyAlignment="1">
      <alignment horizontal="center" vertical="center" wrapText="1"/>
    </xf>
    <xf numFmtId="164" fontId="17" fillId="0" borderId="14" xfId="5" applyFont="1" applyBorder="1" applyAlignment="1">
      <alignment horizontal="left" vertical="center" wrapText="1"/>
    </xf>
    <xf numFmtId="9" fontId="27" fillId="0" borderId="43" xfId="4" applyFont="1" applyBorder="1" applyAlignment="1">
      <alignment horizontal="center" vertical="center" wrapText="1"/>
    </xf>
    <xf numFmtId="164" fontId="27" fillId="0" borderId="44" xfId="5" applyFont="1" applyBorder="1" applyAlignment="1">
      <alignment horizontal="center" vertical="center" wrapText="1"/>
    </xf>
    <xf numFmtId="0" fontId="15" fillId="4" borderId="21" xfId="1" applyFont="1" applyFill="1" applyBorder="1" applyAlignment="1">
      <alignment vertical="center"/>
    </xf>
    <xf numFmtId="0" fontId="15" fillId="4" borderId="1" xfId="1" applyFont="1" applyFill="1" applyBorder="1" applyAlignment="1">
      <alignment vertical="center"/>
    </xf>
    <xf numFmtId="165" fontId="16" fillId="4" borderId="2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" borderId="1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" fontId="6" fillId="0" borderId="0" xfId="0" applyNumberFormat="1" applyFont="1" applyAlignment="1">
      <alignment horizontal="right" vertical="center"/>
    </xf>
    <xf numFmtId="0" fontId="3" fillId="4" borderId="11" xfId="1" applyFont="1" applyFill="1" applyBorder="1" applyAlignment="1">
      <alignment horizontal="center" vertical="center"/>
    </xf>
    <xf numFmtId="49" fontId="3" fillId="4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vertical="center" wrapText="1"/>
    </xf>
    <xf numFmtId="0" fontId="3" fillId="4" borderId="12" xfId="1" applyFont="1" applyFill="1" applyBorder="1" applyAlignment="1">
      <alignment horizontal="center" vertical="center"/>
    </xf>
    <xf numFmtId="4" fontId="3" fillId="4" borderId="12" xfId="1" applyNumberFormat="1" applyFont="1" applyFill="1" applyBorder="1" applyAlignment="1">
      <alignment vertical="center"/>
    </xf>
    <xf numFmtId="43" fontId="3" fillId="4" borderId="15" xfId="2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49" fontId="3" fillId="4" borderId="17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vertical="center" wrapText="1"/>
    </xf>
    <xf numFmtId="43" fontId="3" fillId="4" borderId="17" xfId="2" applyFont="1" applyFill="1" applyBorder="1" applyAlignment="1">
      <alignment vertical="center"/>
    </xf>
    <xf numFmtId="43" fontId="3" fillId="4" borderId="19" xfId="2" applyFont="1" applyFill="1" applyBorder="1" applyAlignment="1">
      <alignment vertical="center"/>
    </xf>
    <xf numFmtId="9" fontId="1" fillId="0" borderId="0" xfId="4" applyFont="1" applyFill="1" applyBorder="1" applyAlignment="1">
      <alignment vertical="center"/>
    </xf>
    <xf numFmtId="0" fontId="2" fillId="0" borderId="0" xfId="1" applyAlignment="1">
      <alignment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horizontal="left" vertical="center" wrapText="1"/>
    </xf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64" fontId="12" fillId="0" borderId="0" xfId="0" applyNumberFormat="1" applyFont="1"/>
    <xf numFmtId="9" fontId="12" fillId="0" borderId="0" xfId="4" applyFont="1"/>
    <xf numFmtId="0" fontId="8" fillId="0" borderId="17" xfId="0" applyFont="1" applyBorder="1" applyAlignment="1">
      <alignment horizontal="center"/>
    </xf>
    <xf numFmtId="164" fontId="29" fillId="0" borderId="0" xfId="0" applyNumberFormat="1" applyFont="1"/>
    <xf numFmtId="0" fontId="6" fillId="0" borderId="0" xfId="0" applyFont="1" applyFill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9" fillId="0" borderId="24" xfId="0" applyFont="1" applyBorder="1"/>
    <xf numFmtId="0" fontId="9" fillId="0" borderId="13" xfId="0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27" xfId="0" applyFont="1" applyBorder="1"/>
    <xf numFmtId="0" fontId="9" fillId="0" borderId="13" xfId="0" applyFont="1" applyBorder="1"/>
    <xf numFmtId="0" fontId="9" fillId="0" borderId="20" xfId="0" applyFont="1" applyBorder="1"/>
    <xf numFmtId="0" fontId="10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2" fontId="9" fillId="0" borderId="0" xfId="0" applyNumberFormat="1" applyFont="1" applyBorder="1"/>
    <xf numFmtId="0" fontId="9" fillId="0" borderId="26" xfId="0" applyFont="1" applyBorder="1"/>
    <xf numFmtId="165" fontId="0" fillId="0" borderId="0" xfId="0" applyNumberFormat="1" applyAlignment="1">
      <alignment vertical="center"/>
    </xf>
    <xf numFmtId="0" fontId="19" fillId="0" borderId="0" xfId="6" applyAlignment="1">
      <alignment vertical="center"/>
    </xf>
    <xf numFmtId="0" fontId="19" fillId="2" borderId="0" xfId="6" applyFill="1" applyAlignment="1">
      <alignment vertical="center"/>
    </xf>
    <xf numFmtId="0" fontId="32" fillId="0" borderId="0" xfId="6" applyFont="1" applyAlignment="1">
      <alignment horizontal="center" vertical="center"/>
    </xf>
    <xf numFmtId="0" fontId="32" fillId="2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5" fillId="0" borderId="17" xfId="6" applyNumberFormat="1" applyFont="1" applyBorder="1" applyAlignment="1" applyProtection="1">
      <alignment vertical="center" wrapText="1"/>
      <protection locked="0"/>
    </xf>
    <xf numFmtId="0" fontId="36" fillId="0" borderId="0" xfId="6" applyFont="1" applyAlignment="1">
      <alignment vertical="center"/>
    </xf>
    <xf numFmtId="0" fontId="34" fillId="0" borderId="0" xfId="6" applyFont="1" applyAlignment="1">
      <alignment vertical="center"/>
    </xf>
    <xf numFmtId="0" fontId="34" fillId="5" borderId="17" xfId="6" applyFont="1" applyFill="1" applyBorder="1" applyAlignment="1">
      <alignment horizontal="center" vertical="center"/>
    </xf>
    <xf numFmtId="0" fontId="33" fillId="0" borderId="0" xfId="6" applyFont="1" applyAlignment="1">
      <alignment horizontal="centerContinuous" vertical="center"/>
    </xf>
    <xf numFmtId="49" fontId="32" fillId="0" borderId="17" xfId="6" applyNumberFormat="1" applyFont="1" applyBorder="1" applyAlignment="1" applyProtection="1">
      <alignment vertical="center" wrapText="1"/>
      <protection locked="0"/>
    </xf>
    <xf numFmtId="14" fontId="37" fillId="0" borderId="27" xfId="6" applyNumberFormat="1" applyFont="1" applyBorder="1" applyAlignment="1">
      <alignment vertical="center"/>
    </xf>
    <xf numFmtId="168" fontId="37" fillId="0" borderId="17" xfId="6" applyNumberFormat="1" applyFont="1" applyBorder="1" applyAlignment="1" applyProtection="1">
      <alignment horizontal="center" vertical="center" wrapText="1"/>
      <protection locked="0"/>
    </xf>
    <xf numFmtId="0" fontId="38" fillId="0" borderId="0" xfId="6" applyFont="1" applyAlignment="1">
      <alignment horizontal="left" vertical="center"/>
    </xf>
    <xf numFmtId="0" fontId="36" fillId="0" borderId="0" xfId="6" applyFont="1" applyAlignment="1">
      <alignment horizontal="center" vertical="center"/>
    </xf>
    <xf numFmtId="0" fontId="35" fillId="0" borderId="29" xfId="7" applyFont="1" applyBorder="1" applyAlignment="1" applyProtection="1">
      <alignment horizontal="center" vertical="center" wrapText="1"/>
      <protection hidden="1"/>
    </xf>
    <xf numFmtId="0" fontId="37" fillId="0" borderId="0" xfId="7" applyFont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7" fillId="0" borderId="0" xfId="7" applyFont="1" applyAlignment="1" applyProtection="1">
      <alignment horizontal="center" vertical="center" wrapText="1"/>
      <protection locked="0"/>
    </xf>
    <xf numFmtId="0" fontId="42" fillId="0" borderId="26" xfId="7" applyFont="1" applyBorder="1" applyAlignment="1">
      <alignment horizontal="center" vertical="center" wrapText="1"/>
    </xf>
    <xf numFmtId="0" fontId="43" fillId="0" borderId="26" xfId="7" applyFont="1" applyBorder="1" applyAlignment="1">
      <alignment horizontal="center" vertical="center" wrapText="1"/>
    </xf>
    <xf numFmtId="0" fontId="33" fillId="5" borderId="31" xfId="6" applyFont="1" applyFill="1" applyBorder="1" applyAlignment="1">
      <alignment horizontal="center" vertical="center" textRotation="90"/>
    </xf>
    <xf numFmtId="0" fontId="33" fillId="5" borderId="25" xfId="6" applyFont="1" applyFill="1" applyBorder="1" applyAlignment="1">
      <alignment horizontal="center" vertical="center"/>
    </xf>
    <xf numFmtId="0" fontId="33" fillId="5" borderId="26" xfId="6" applyFont="1" applyFill="1" applyBorder="1" applyAlignment="1">
      <alignment horizontal="center" vertical="center"/>
    </xf>
    <xf numFmtId="0" fontId="33" fillId="5" borderId="0" xfId="6" applyFont="1" applyFill="1" applyAlignment="1">
      <alignment horizontal="center" vertical="center" textRotation="90"/>
    </xf>
    <xf numFmtId="0" fontId="37" fillId="0" borderId="27" xfId="7" applyFont="1" applyBorder="1" applyAlignment="1">
      <alignment horizontal="center" vertical="center" wrapText="1"/>
    </xf>
    <xf numFmtId="0" fontId="43" fillId="0" borderId="28" xfId="7" applyFont="1" applyBorder="1" applyAlignment="1">
      <alignment horizontal="center" vertical="center" wrapText="1"/>
    </xf>
    <xf numFmtId="4" fontId="33" fillId="5" borderId="26" xfId="6" applyNumberFormat="1" applyFont="1" applyFill="1" applyBorder="1" applyAlignment="1">
      <alignment horizontal="center" vertical="center"/>
    </xf>
    <xf numFmtId="0" fontId="32" fillId="0" borderId="41" xfId="6" applyFont="1" applyBorder="1" applyAlignment="1">
      <alignment horizontal="center" vertical="center"/>
    </xf>
    <xf numFmtId="10" fontId="32" fillId="0" borderId="53" xfId="4" applyNumberFormat="1" applyFont="1" applyBorder="1" applyAlignment="1" applyProtection="1">
      <alignment vertical="center" wrapText="1"/>
      <protection hidden="1"/>
    </xf>
    <xf numFmtId="10" fontId="32" fillId="0" borderId="43" xfId="4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0" fontId="32" fillId="0" borderId="28" xfId="6" applyFont="1" applyBorder="1" applyAlignment="1">
      <alignment horizontal="center" vertical="center"/>
    </xf>
    <xf numFmtId="167" fontId="32" fillId="0" borderId="44" xfId="10" applyNumberFormat="1" applyFont="1" applyBorder="1" applyAlignment="1" applyProtection="1">
      <alignment horizontal="center" vertical="center" wrapText="1"/>
      <protection hidden="1"/>
    </xf>
    <xf numFmtId="10" fontId="32" fillId="0" borderId="42" xfId="4" applyNumberFormat="1" applyFont="1" applyBorder="1" applyAlignment="1" applyProtection="1">
      <alignment vertical="center" wrapText="1"/>
      <protection hidden="1"/>
    </xf>
    <xf numFmtId="0" fontId="36" fillId="0" borderId="41" xfId="6" applyFont="1" applyBorder="1" applyAlignment="1">
      <alignment horizontal="center" vertical="center"/>
    </xf>
    <xf numFmtId="10" fontId="36" fillId="0" borderId="42" xfId="4" applyNumberFormat="1" applyFont="1" applyBorder="1" applyAlignment="1" applyProtection="1">
      <alignment vertical="center" wrapText="1"/>
      <protection hidden="1"/>
    </xf>
    <xf numFmtId="10" fontId="36" fillId="0" borderId="43" xfId="4" applyNumberFormat="1" applyFont="1" applyBorder="1" applyAlignment="1" applyProtection="1">
      <alignment horizontal="center" vertical="center" wrapText="1"/>
      <protection hidden="1"/>
    </xf>
    <xf numFmtId="0" fontId="36" fillId="0" borderId="28" xfId="6" applyFont="1" applyBorder="1" applyAlignment="1">
      <alignment horizontal="center" vertical="center"/>
    </xf>
    <xf numFmtId="167" fontId="36" fillId="0" borderId="44" xfId="1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4" fontId="33" fillId="1" borderId="22" xfId="6" applyNumberFormat="1" applyFont="1" applyFill="1" applyBorder="1" applyAlignment="1">
      <alignment horizontal="center" vertical="center"/>
    </xf>
    <xf numFmtId="0" fontId="36" fillId="2" borderId="0" xfId="6" applyFont="1" applyFill="1" applyAlignment="1">
      <alignment horizontal="center" vertical="center"/>
    </xf>
    <xf numFmtId="44" fontId="32" fillId="0" borderId="43" xfId="10" applyFont="1" applyFill="1" applyBorder="1" applyAlignment="1" applyProtection="1">
      <alignment horizontal="center" vertical="center" wrapText="1"/>
      <protection hidden="1"/>
    </xf>
    <xf numFmtId="44" fontId="35" fillId="0" borderId="43" xfId="10" applyFont="1" applyFill="1" applyBorder="1" applyAlignment="1" applyProtection="1">
      <alignment horizontal="center" vertical="center" wrapText="1"/>
      <protection hidden="1"/>
    </xf>
    <xf numFmtId="10" fontId="35" fillId="0" borderId="17" xfId="4" applyNumberFormat="1" applyFont="1" applyBorder="1" applyAlignment="1" applyProtection="1">
      <alignment horizontal="center" vertical="center" wrapText="1"/>
      <protection hidden="1"/>
    </xf>
    <xf numFmtId="0" fontId="33" fillId="2" borderId="0" xfId="6" applyFont="1" applyFill="1" applyAlignment="1">
      <alignment horizontal="right" vertical="center"/>
    </xf>
    <xf numFmtId="167" fontId="36" fillId="0" borderId="0" xfId="8" applyNumberFormat="1" applyFont="1" applyBorder="1" applyAlignment="1" applyProtection="1">
      <alignment horizontal="center" vertical="center"/>
    </xf>
    <xf numFmtId="0" fontId="33" fillId="0" borderId="0" xfId="6" applyFont="1" applyAlignment="1">
      <alignment vertical="center" wrapText="1"/>
    </xf>
    <xf numFmtId="0" fontId="36" fillId="0" borderId="0" xfId="6" applyFont="1" applyAlignment="1">
      <alignment vertical="center" wrapText="1"/>
    </xf>
    <xf numFmtId="0" fontId="19" fillId="0" borderId="0" xfId="6" applyAlignment="1">
      <alignment horizontal="left"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horizontal="left"/>
    </xf>
    <xf numFmtId="43" fontId="14" fillId="0" borderId="19" xfId="2" applyFont="1" applyFill="1" applyBorder="1" applyAlignment="1">
      <alignment horizontal="right" vertical="center"/>
    </xf>
    <xf numFmtId="0" fontId="9" fillId="0" borderId="25" xfId="0" applyFont="1" applyBorder="1" applyAlignment="1"/>
    <xf numFmtId="0" fontId="14" fillId="0" borderId="1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49" fontId="14" fillId="0" borderId="17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left" vertical="center" wrapText="1"/>
    </xf>
    <xf numFmtId="0" fontId="14" fillId="0" borderId="17" xfId="1" applyFont="1" applyFill="1" applyBorder="1" applyAlignment="1">
      <alignment horizontal="center" vertical="center" wrapText="1"/>
    </xf>
    <xf numFmtId="43" fontId="14" fillId="0" borderId="17" xfId="2" applyFont="1" applyFill="1" applyBorder="1" applyAlignment="1">
      <alignment horizontal="right" vertical="center"/>
    </xf>
    <xf numFmtId="43" fontId="14" fillId="0" borderId="18" xfId="2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2" fontId="10" fillId="0" borderId="27" xfId="0" applyNumberFormat="1" applyFont="1" applyBorder="1" applyAlignment="1">
      <alignment horizontal="right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right" vertical="center" wrapText="1"/>
    </xf>
    <xf numFmtId="0" fontId="0" fillId="0" borderId="18" xfId="0" applyBorder="1"/>
    <xf numFmtId="2" fontId="0" fillId="0" borderId="18" xfId="0" applyNumberFormat="1" applyBorder="1"/>
    <xf numFmtId="0" fontId="0" fillId="0" borderId="14" xfId="0" applyBorder="1"/>
    <xf numFmtId="169" fontId="0" fillId="0" borderId="18" xfId="0" applyNumberFormat="1" applyBorder="1"/>
    <xf numFmtId="2" fontId="0" fillId="0" borderId="25" xfId="0" applyNumberFormat="1" applyBorder="1"/>
    <xf numFmtId="0" fontId="0" fillId="0" borderId="26" xfId="0" applyBorder="1"/>
    <xf numFmtId="2" fontId="10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/>
    <xf numFmtId="0" fontId="9" fillId="0" borderId="28" xfId="0" applyFont="1" applyBorder="1"/>
    <xf numFmtId="2" fontId="0" fillId="0" borderId="0" xfId="0" applyNumberFormat="1"/>
    <xf numFmtId="0" fontId="0" fillId="0" borderId="22" xfId="0" applyBorder="1"/>
    <xf numFmtId="2" fontId="0" fillId="0" borderId="22" xfId="0" applyNumberFormat="1" applyBorder="1"/>
    <xf numFmtId="0" fontId="0" fillId="0" borderId="31" xfId="0" applyBorder="1"/>
    <xf numFmtId="2" fontId="0" fillId="0" borderId="31" xfId="0" applyNumberFormat="1" applyBorder="1"/>
    <xf numFmtId="0" fontId="0" fillId="0" borderId="25" xfId="0" applyBorder="1"/>
    <xf numFmtId="2" fontId="0" fillId="0" borderId="26" xfId="0" applyNumberFormat="1" applyBorder="1"/>
    <xf numFmtId="4" fontId="0" fillId="0" borderId="31" xfId="0" applyNumberFormat="1" applyBorder="1"/>
    <xf numFmtId="4" fontId="0" fillId="0" borderId="26" xfId="0" applyNumberFormat="1" applyBorder="1"/>
    <xf numFmtId="0" fontId="46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2" fontId="0" fillId="0" borderId="31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169" fontId="0" fillId="0" borderId="26" xfId="0" applyNumberFormat="1" applyBorder="1"/>
    <xf numFmtId="0" fontId="0" fillId="0" borderId="12" xfId="0" applyBorder="1" applyAlignment="1">
      <alignment horizontal="left" wrapText="1"/>
    </xf>
    <xf numFmtId="169" fontId="0" fillId="0" borderId="28" xfId="0" applyNumberFormat="1" applyBorder="1" applyAlignment="1">
      <alignment vertical="center"/>
    </xf>
    <xf numFmtId="0" fontId="0" fillId="0" borderId="13" xfId="0" applyBorder="1"/>
    <xf numFmtId="4" fontId="0" fillId="0" borderId="28" xfId="0" applyNumberFormat="1" applyBorder="1"/>
    <xf numFmtId="2" fontId="0" fillId="0" borderId="28" xfId="0" applyNumberFormat="1" applyBorder="1"/>
    <xf numFmtId="43" fontId="1" fillId="0" borderId="0" xfId="4" applyNumberFormat="1" applyFont="1" applyFill="1" applyBorder="1" applyAlignment="1">
      <alignment vertical="center"/>
    </xf>
    <xf numFmtId="49" fontId="10" fillId="0" borderId="24" xfId="0" applyNumberFormat="1" applyFont="1" applyBorder="1" applyAlignment="1">
      <alignment horizontal="left" vertical="center"/>
    </xf>
    <xf numFmtId="2" fontId="9" fillId="0" borderId="2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32" fillId="0" borderId="17" xfId="6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/>
    </xf>
    <xf numFmtId="0" fontId="10" fillId="0" borderId="27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/>
    </xf>
    <xf numFmtId="4" fontId="4" fillId="3" borderId="10" xfId="2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49" fontId="4" fillId="3" borderId="3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3" borderId="8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4" fontId="4" fillId="3" borderId="8" xfId="2" applyNumberFormat="1" applyFont="1" applyFill="1" applyBorder="1" applyAlignment="1">
      <alignment horizontal="center" vertical="center"/>
    </xf>
    <xf numFmtId="4" fontId="4" fillId="3" borderId="5" xfId="2" applyNumberFormat="1" applyFont="1" applyFill="1" applyBorder="1" applyAlignment="1">
      <alignment horizontal="center" vertical="center"/>
    </xf>
    <xf numFmtId="4" fontId="4" fillId="3" borderId="9" xfId="2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left" vertical="center"/>
    </xf>
    <xf numFmtId="49" fontId="17" fillId="0" borderId="7" xfId="1" applyNumberFormat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justify" wrapText="1"/>
    </xf>
    <xf numFmtId="0" fontId="12" fillId="0" borderId="33" xfId="0" applyFont="1" applyBorder="1" applyAlignment="1">
      <alignment horizontal="justify" wrapText="1"/>
    </xf>
    <xf numFmtId="0" fontId="12" fillId="0" borderId="36" xfId="0" applyFont="1" applyBorder="1" applyAlignment="1">
      <alignment horizontal="justify" wrapText="1"/>
    </xf>
    <xf numFmtId="0" fontId="12" fillId="0" borderId="30" xfId="0" applyFont="1" applyBorder="1" applyAlignment="1">
      <alignment horizontal="justify" wrapText="1"/>
    </xf>
    <xf numFmtId="0" fontId="13" fillId="0" borderId="0" xfId="0" applyFont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7" fillId="0" borderId="17" xfId="6" applyFont="1" applyBorder="1" applyAlignment="1">
      <alignment horizontal="left" vertical="center" wrapText="1"/>
    </xf>
    <xf numFmtId="0" fontId="25" fillId="5" borderId="17" xfId="6" applyFont="1" applyFill="1" applyBorder="1" applyAlignment="1">
      <alignment horizontal="center" vertical="center" textRotation="90" wrapText="1"/>
    </xf>
    <xf numFmtId="0" fontId="4" fillId="0" borderId="18" xfId="6" applyFont="1" applyBorder="1" applyAlignment="1">
      <alignment horizontal="left" vertical="center" wrapText="1"/>
    </xf>
    <xf numFmtId="0" fontId="4" fillId="0" borderId="29" xfId="6" applyFont="1" applyBorder="1" applyAlignment="1">
      <alignment horizontal="left" vertical="center" wrapText="1"/>
    </xf>
    <xf numFmtId="0" fontId="4" fillId="0" borderId="14" xfId="6" applyFont="1" applyBorder="1" applyAlignment="1">
      <alignment horizontal="left" vertical="center" wrapText="1"/>
    </xf>
    <xf numFmtId="0" fontId="22" fillId="0" borderId="23" xfId="6" applyFont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 wrapText="1"/>
    </xf>
    <xf numFmtId="0" fontId="22" fillId="0" borderId="25" xfId="6" applyFont="1" applyBorder="1" applyAlignment="1">
      <alignment horizontal="center" vertical="center" wrapText="1"/>
    </xf>
    <xf numFmtId="0" fontId="22" fillId="0" borderId="26" xfId="6" applyFont="1" applyBorder="1" applyAlignment="1">
      <alignment horizontal="center" vertical="center" wrapText="1"/>
    </xf>
    <xf numFmtId="0" fontId="22" fillId="0" borderId="13" xfId="6" applyFont="1" applyBorder="1" applyAlignment="1">
      <alignment horizontal="center" vertical="center" wrapText="1"/>
    </xf>
    <xf numFmtId="0" fontId="22" fillId="0" borderId="28" xfId="6" applyFont="1" applyBorder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4" fillId="0" borderId="0" xfId="6" applyFont="1" applyAlignment="1">
      <alignment horizontal="center"/>
    </xf>
    <xf numFmtId="0" fontId="17" fillId="0" borderId="17" xfId="6" applyFont="1" applyBorder="1" applyAlignment="1">
      <alignment horizontal="left" vertical="center"/>
    </xf>
    <xf numFmtId="0" fontId="21" fillId="0" borderId="17" xfId="6" applyFont="1" applyBorder="1" applyAlignment="1">
      <alignment horizontal="left" vertical="center" wrapText="1"/>
    </xf>
    <xf numFmtId="9" fontId="27" fillId="0" borderId="42" xfId="4" applyFont="1" applyBorder="1" applyAlignment="1">
      <alignment horizontal="center" vertical="center" wrapText="1"/>
    </xf>
    <xf numFmtId="9" fontId="27" fillId="0" borderId="41" xfId="4" applyFont="1" applyBorder="1" applyAlignment="1">
      <alignment horizontal="center" vertical="center" wrapText="1"/>
    </xf>
    <xf numFmtId="164" fontId="27" fillId="0" borderId="42" xfId="5" applyFont="1" applyBorder="1" applyAlignment="1">
      <alignment horizontal="center" vertical="center" wrapText="1"/>
    </xf>
    <xf numFmtId="164" fontId="27" fillId="0" borderId="41" xfId="5" applyFont="1" applyBorder="1" applyAlignment="1">
      <alignment horizontal="center" vertical="center" wrapText="1"/>
    </xf>
    <xf numFmtId="4" fontId="4" fillId="5" borderId="22" xfId="6" applyNumberFormat="1" applyFont="1" applyFill="1" applyBorder="1" applyAlignment="1">
      <alignment horizontal="center" vertical="center"/>
    </xf>
    <xf numFmtId="4" fontId="4" fillId="5" borderId="31" xfId="6" applyNumberFormat="1" applyFont="1" applyFill="1" applyBorder="1" applyAlignment="1">
      <alignment horizontal="center" vertical="center"/>
    </xf>
    <xf numFmtId="0" fontId="25" fillId="0" borderId="23" xfId="7" applyFont="1" applyBorder="1" applyAlignment="1">
      <alignment horizontal="center" wrapText="1"/>
    </xf>
    <xf numFmtId="0" fontId="25" fillId="0" borderId="20" xfId="7" applyFont="1" applyBorder="1" applyAlignment="1">
      <alignment horizontal="center" wrapText="1"/>
    </xf>
    <xf numFmtId="0" fontId="26" fillId="0" borderId="13" xfId="7" applyFont="1" applyBorder="1" applyAlignment="1">
      <alignment horizontal="center" vertical="top" wrapText="1"/>
    </xf>
    <xf numFmtId="0" fontId="26" fillId="0" borderId="28" xfId="7" applyFont="1" applyBorder="1" applyAlignment="1">
      <alignment horizontal="center" vertical="top" wrapText="1"/>
    </xf>
    <xf numFmtId="49" fontId="24" fillId="0" borderId="18" xfId="6" applyNumberFormat="1" applyFont="1" applyBorder="1" applyAlignment="1">
      <alignment horizontal="center" vertical="center" wrapText="1"/>
    </xf>
    <xf numFmtId="49" fontId="24" fillId="0" borderId="14" xfId="6" applyNumberFormat="1" applyFont="1" applyBorder="1" applyAlignment="1">
      <alignment horizontal="center" vertical="center" wrapText="1"/>
    </xf>
    <xf numFmtId="49" fontId="26" fillId="0" borderId="18" xfId="6" applyNumberFormat="1" applyFont="1" applyBorder="1" applyAlignment="1">
      <alignment horizontal="center" vertical="center" wrapText="1"/>
    </xf>
    <xf numFmtId="49" fontId="26" fillId="0" borderId="14" xfId="6" applyNumberFormat="1" applyFont="1" applyBorder="1" applyAlignment="1">
      <alignment horizontal="center" vertical="center" wrapText="1"/>
    </xf>
    <xf numFmtId="0" fontId="4" fillId="5" borderId="22" xfId="6" applyFont="1" applyFill="1" applyBorder="1" applyAlignment="1">
      <alignment horizontal="center" vertical="center" textRotation="90"/>
    </xf>
    <xf numFmtId="0" fontId="4" fillId="5" borderId="31" xfId="6" applyFont="1" applyFill="1" applyBorder="1" applyAlignment="1">
      <alignment horizontal="center" vertical="center" textRotation="90"/>
    </xf>
    <xf numFmtId="0" fontId="4" fillId="5" borderId="23" xfId="6" applyFont="1" applyFill="1" applyBorder="1" applyAlignment="1">
      <alignment horizontal="center" vertical="center"/>
    </xf>
    <xf numFmtId="0" fontId="4" fillId="5" borderId="20" xfId="6" applyFont="1" applyFill="1" applyBorder="1" applyAlignment="1">
      <alignment horizontal="center" vertical="center"/>
    </xf>
    <xf numFmtId="0" fontId="4" fillId="5" borderId="25" xfId="6" applyFont="1" applyFill="1" applyBorder="1" applyAlignment="1">
      <alignment horizontal="center" vertical="center"/>
    </xf>
    <xf numFmtId="0" fontId="4" fillId="5" borderId="26" xfId="6" applyFont="1" applyFill="1" applyBorder="1" applyAlignment="1">
      <alignment horizontal="center" vertical="center"/>
    </xf>
    <xf numFmtId="0" fontId="4" fillId="5" borderId="13" xfId="6" applyFont="1" applyFill="1" applyBorder="1" applyAlignment="1">
      <alignment horizontal="center" vertical="center"/>
    </xf>
    <xf numFmtId="0" fontId="4" fillId="5" borderId="28" xfId="6" applyFont="1" applyFill="1" applyBorder="1" applyAlignment="1">
      <alignment horizontal="center" vertical="center"/>
    </xf>
    <xf numFmtId="0" fontId="4" fillId="5" borderId="18" xfId="6" applyFont="1" applyFill="1" applyBorder="1" applyAlignment="1">
      <alignment horizontal="center" vertical="center"/>
    </xf>
    <xf numFmtId="0" fontId="4" fillId="5" borderId="14" xfId="6" applyFont="1" applyFill="1" applyBorder="1" applyAlignment="1">
      <alignment horizontal="center" vertical="center"/>
    </xf>
    <xf numFmtId="0" fontId="4" fillId="0" borderId="22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17" fillId="0" borderId="23" xfId="6" applyFont="1" applyBorder="1" applyAlignment="1">
      <alignment horizontal="left" vertical="center" wrapText="1"/>
    </xf>
    <xf numFmtId="0" fontId="17" fillId="0" borderId="20" xfId="6" applyFont="1" applyBorder="1" applyAlignment="1">
      <alignment horizontal="left" vertical="center" wrapText="1"/>
    </xf>
    <xf numFmtId="0" fontId="17" fillId="0" borderId="13" xfId="6" applyFont="1" applyBorder="1" applyAlignment="1">
      <alignment horizontal="left" vertical="center" wrapText="1"/>
    </xf>
    <xf numFmtId="0" fontId="17" fillId="0" borderId="28" xfId="6" applyFont="1" applyBorder="1" applyAlignment="1">
      <alignment horizontal="left" vertical="center" wrapText="1"/>
    </xf>
    <xf numFmtId="10" fontId="27" fillId="0" borderId="42" xfId="4" applyNumberFormat="1" applyFont="1" applyBorder="1" applyAlignment="1">
      <alignment horizontal="center" vertical="center" wrapText="1"/>
    </xf>
    <xf numFmtId="10" fontId="27" fillId="0" borderId="41" xfId="4" applyNumberFormat="1" applyFont="1" applyBorder="1" applyAlignment="1">
      <alignment horizontal="center" vertical="center" wrapText="1"/>
    </xf>
    <xf numFmtId="0" fontId="4" fillId="5" borderId="29" xfId="6" applyFont="1" applyFill="1" applyBorder="1" applyAlignment="1">
      <alignment horizontal="center" vertical="center"/>
    </xf>
    <xf numFmtId="164" fontId="17" fillId="0" borderId="18" xfId="5" applyFont="1" applyBorder="1" applyAlignment="1">
      <alignment horizontal="left" vertical="center" wrapText="1"/>
    </xf>
    <xf numFmtId="164" fontId="17" fillId="0" borderId="14" xfId="5" applyFont="1" applyBorder="1" applyAlignment="1">
      <alignment horizontal="left" vertical="center" wrapText="1"/>
    </xf>
    <xf numFmtId="0" fontId="4" fillId="5" borderId="18" xfId="6" applyFont="1" applyFill="1" applyBorder="1" applyAlignment="1">
      <alignment horizontal="center" vertical="center" wrapText="1"/>
    </xf>
    <xf numFmtId="0" fontId="4" fillId="5" borderId="29" xfId="6" applyFont="1" applyFill="1" applyBorder="1" applyAlignment="1">
      <alignment horizontal="center" vertical="center" wrapText="1"/>
    </xf>
    <xf numFmtId="0" fontId="4" fillId="5" borderId="14" xfId="6" applyFont="1" applyFill="1" applyBorder="1" applyAlignment="1">
      <alignment horizontal="center" vertical="center" wrapText="1"/>
    </xf>
    <xf numFmtId="9" fontId="17" fillId="0" borderId="18" xfId="4" applyFont="1" applyBorder="1" applyAlignment="1">
      <alignment horizontal="center" vertical="center" wrapText="1"/>
    </xf>
    <xf numFmtId="9" fontId="17" fillId="0" borderId="14" xfId="4" applyFont="1" applyBorder="1" applyAlignment="1">
      <alignment horizontal="center" vertical="center" wrapText="1"/>
    </xf>
    <xf numFmtId="0" fontId="28" fillId="0" borderId="45" xfId="6" applyFont="1" applyBorder="1" applyAlignment="1">
      <alignment horizontal="left" vertical="top" wrapText="1"/>
    </xf>
    <xf numFmtId="0" fontId="17" fillId="0" borderId="46" xfId="6" applyFont="1" applyBorder="1" applyAlignment="1">
      <alignment horizontal="left" vertical="top"/>
    </xf>
    <xf numFmtId="0" fontId="17" fillId="0" borderId="47" xfId="6" applyFont="1" applyBorder="1" applyAlignment="1">
      <alignment horizontal="left" vertical="top"/>
    </xf>
    <xf numFmtId="0" fontId="17" fillId="0" borderId="48" xfId="6" applyFont="1" applyBorder="1" applyAlignment="1">
      <alignment horizontal="left" vertical="top"/>
    </xf>
    <xf numFmtId="0" fontId="17" fillId="0" borderId="0" xfId="6" applyFont="1" applyAlignment="1">
      <alignment horizontal="left" vertical="top"/>
    </xf>
    <xf numFmtId="0" fontId="17" fillId="0" borderId="49" xfId="6" applyFont="1" applyBorder="1" applyAlignment="1">
      <alignment horizontal="left" vertical="top"/>
    </xf>
    <xf numFmtId="0" fontId="17" fillId="0" borderId="50" xfId="6" applyFont="1" applyBorder="1" applyAlignment="1">
      <alignment horizontal="left" vertical="top"/>
    </xf>
    <xf numFmtId="0" fontId="17" fillId="0" borderId="51" xfId="6" applyFont="1" applyBorder="1" applyAlignment="1">
      <alignment horizontal="left" vertical="top"/>
    </xf>
    <xf numFmtId="0" fontId="17" fillId="0" borderId="52" xfId="6" applyFont="1" applyBorder="1" applyAlignment="1">
      <alignment horizontal="left" vertical="top"/>
    </xf>
    <xf numFmtId="0" fontId="34" fillId="5" borderId="17" xfId="6" applyFont="1" applyFill="1" applyBorder="1" applyAlignment="1">
      <alignment horizontal="left" vertical="center"/>
    </xf>
    <xf numFmtId="0" fontId="37" fillId="0" borderId="17" xfId="6" applyFont="1" applyBorder="1" applyAlignment="1" applyProtection="1">
      <alignment horizontal="center" vertical="center" wrapText="1"/>
      <protection locked="0"/>
    </xf>
    <xf numFmtId="0" fontId="30" fillId="0" borderId="0" xfId="6" applyFont="1" applyAlignment="1" applyProtection="1">
      <alignment horizontal="center" vertical="center" wrapText="1"/>
      <protection locked="0"/>
    </xf>
    <xf numFmtId="0" fontId="31" fillId="0" borderId="0" xfId="6" applyFont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34" fillId="5" borderId="17" xfId="6" applyFont="1" applyFill="1" applyBorder="1" applyAlignment="1">
      <alignment horizontal="center" vertical="center" wrapText="1"/>
    </xf>
    <xf numFmtId="0" fontId="39" fillId="5" borderId="17" xfId="6" applyFont="1" applyFill="1" applyBorder="1" applyAlignment="1">
      <alignment horizontal="center" vertical="center" textRotation="90" wrapText="1"/>
    </xf>
    <xf numFmtId="0" fontId="34" fillId="0" borderId="17" xfId="6" applyFont="1" applyBorder="1" applyAlignment="1">
      <alignment horizontal="center" vertical="center" wrapText="1"/>
    </xf>
    <xf numFmtId="0" fontId="34" fillId="0" borderId="18" xfId="6" applyFont="1" applyBorder="1" applyAlignment="1">
      <alignment horizontal="center" vertical="center" wrapText="1"/>
    </xf>
    <xf numFmtId="0" fontId="37" fillId="0" borderId="27" xfId="6" applyFont="1" applyBorder="1" applyAlignment="1">
      <alignment horizontal="left" vertical="center" wrapText="1"/>
    </xf>
    <xf numFmtId="0" fontId="37" fillId="0" borderId="29" xfId="6" applyFont="1" applyBorder="1" applyAlignment="1">
      <alignment horizontal="left" vertical="center" wrapText="1"/>
    </xf>
    <xf numFmtId="0" fontId="37" fillId="0" borderId="14" xfId="6" applyFont="1" applyBorder="1" applyAlignment="1">
      <alignment horizontal="left" vertical="center" wrapText="1"/>
    </xf>
    <xf numFmtId="0" fontId="37" fillId="0" borderId="29" xfId="6" applyFont="1" applyBorder="1" applyAlignment="1" applyProtection="1">
      <alignment horizontal="left" vertical="center" wrapText="1"/>
      <protection hidden="1"/>
    </xf>
    <xf numFmtId="0" fontId="37" fillId="0" borderId="14" xfId="6" applyFont="1" applyBorder="1" applyAlignment="1" applyProtection="1">
      <alignment horizontal="left" vertical="center" wrapText="1"/>
      <protection hidden="1"/>
    </xf>
    <xf numFmtId="4" fontId="33" fillId="5" borderId="22" xfId="6" applyNumberFormat="1" applyFont="1" applyFill="1" applyBorder="1" applyAlignment="1">
      <alignment horizontal="center" vertical="center"/>
    </xf>
    <xf numFmtId="4" fontId="33" fillId="5" borderId="31" xfId="6" applyNumberFormat="1" applyFont="1" applyFill="1" applyBorder="1" applyAlignment="1">
      <alignment horizontal="center" vertical="center"/>
    </xf>
    <xf numFmtId="4" fontId="33" fillId="5" borderId="26" xfId="6" applyNumberFormat="1" applyFont="1" applyFill="1" applyBorder="1" applyAlignment="1">
      <alignment horizontal="center" vertical="center"/>
    </xf>
    <xf numFmtId="0" fontId="41" fillId="0" borderId="29" xfId="6" applyFont="1" applyBorder="1" applyAlignment="1">
      <alignment horizontal="center" vertical="center" wrapText="1"/>
    </xf>
    <xf numFmtId="0" fontId="41" fillId="0" borderId="14" xfId="6" applyFont="1" applyBorder="1" applyAlignment="1">
      <alignment horizontal="center" vertical="center" wrapText="1"/>
    </xf>
    <xf numFmtId="0" fontId="35" fillId="0" borderId="18" xfId="7" applyFont="1" applyBorder="1" applyAlignment="1">
      <alignment horizontal="right" vertical="center" wrapText="1"/>
    </xf>
    <xf numFmtId="0" fontId="35" fillId="0" borderId="29" xfId="7" applyFont="1" applyBorder="1" applyAlignment="1">
      <alignment horizontal="right" vertical="center" wrapText="1"/>
    </xf>
    <xf numFmtId="0" fontId="35" fillId="0" borderId="29" xfId="7" applyFont="1" applyBorder="1" applyAlignment="1">
      <alignment horizontal="left" vertical="center" wrapText="1"/>
    </xf>
    <xf numFmtId="0" fontId="35" fillId="0" borderId="14" xfId="7" applyFont="1" applyBorder="1" applyAlignment="1">
      <alignment horizontal="left" vertical="center" wrapText="1"/>
    </xf>
    <xf numFmtId="0" fontId="37" fillId="0" borderId="25" xfId="7" applyFont="1" applyBorder="1" applyAlignment="1">
      <alignment horizontal="left" vertical="center" wrapText="1" indent="1"/>
    </xf>
    <xf numFmtId="0" fontId="37" fillId="0" borderId="0" xfId="7" applyFont="1" applyAlignment="1">
      <alignment horizontal="left" vertical="center" wrapText="1" indent="1"/>
    </xf>
    <xf numFmtId="0" fontId="33" fillId="5" borderId="22" xfId="6" applyFont="1" applyFill="1" applyBorder="1" applyAlignment="1">
      <alignment horizontal="center" vertical="center" textRotation="90"/>
    </xf>
    <xf numFmtId="0" fontId="33" fillId="5" borderId="31" xfId="6" applyFont="1" applyFill="1" applyBorder="1" applyAlignment="1">
      <alignment horizontal="center" vertical="center" textRotation="90"/>
    </xf>
    <xf numFmtId="0" fontId="33" fillId="5" borderId="23" xfId="6" applyFont="1" applyFill="1" applyBorder="1" applyAlignment="1">
      <alignment horizontal="center" vertical="center"/>
    </xf>
    <xf numFmtId="0" fontId="33" fillId="5" borderId="20" xfId="6" applyFont="1" applyFill="1" applyBorder="1" applyAlignment="1">
      <alignment horizontal="center" vertical="center"/>
    </xf>
    <xf numFmtId="0" fontId="33" fillId="5" borderId="25" xfId="6" applyFont="1" applyFill="1" applyBorder="1" applyAlignment="1">
      <alignment horizontal="center" vertical="center"/>
    </xf>
    <xf numFmtId="0" fontId="33" fillId="5" borderId="26" xfId="6" applyFont="1" applyFill="1" applyBorder="1" applyAlignment="1">
      <alignment horizontal="center" vertical="center"/>
    </xf>
    <xf numFmtId="0" fontId="33" fillId="5" borderId="25" xfId="6" applyFont="1" applyFill="1" applyBorder="1" applyAlignment="1">
      <alignment horizontal="center" vertical="center" textRotation="90"/>
    </xf>
    <xf numFmtId="0" fontId="33" fillId="5" borderId="29" xfId="6" applyFont="1" applyFill="1" applyBorder="1" applyAlignment="1">
      <alignment horizontal="center" vertical="center"/>
    </xf>
    <xf numFmtId="0" fontId="33" fillId="5" borderId="14" xfId="6" applyFont="1" applyFill="1" applyBorder="1" applyAlignment="1">
      <alignment horizontal="center" vertical="center"/>
    </xf>
    <xf numFmtId="0" fontId="35" fillId="0" borderId="2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32" fillId="0" borderId="23" xfId="6" applyFont="1" applyBorder="1" applyAlignment="1" applyProtection="1">
      <alignment horizontal="left" vertical="center" wrapText="1" indent="1"/>
      <protection locked="0"/>
    </xf>
    <xf numFmtId="0" fontId="32" fillId="0" borderId="20" xfId="6" applyFont="1" applyBorder="1" applyAlignment="1" applyProtection="1">
      <alignment horizontal="left" vertical="center" wrapText="1" indent="1"/>
      <protection locked="0"/>
    </xf>
    <xf numFmtId="0" fontId="32" fillId="0" borderId="13" xfId="6" applyFont="1" applyBorder="1" applyAlignment="1" applyProtection="1">
      <alignment horizontal="left" vertical="center" wrapText="1" indent="1"/>
      <protection locked="0"/>
    </xf>
    <xf numFmtId="0" fontId="32" fillId="0" borderId="28" xfId="6" applyFont="1" applyBorder="1" applyAlignment="1" applyProtection="1">
      <alignment horizontal="left" vertical="center" wrapText="1" indent="1"/>
      <protection locked="0"/>
    </xf>
    <xf numFmtId="10" fontId="32" fillId="0" borderId="54" xfId="4" applyNumberFormat="1" applyFont="1" applyBorder="1" applyAlignment="1" applyProtection="1">
      <alignment horizontal="center" vertical="center" wrapText="1"/>
      <protection hidden="1"/>
    </xf>
    <xf numFmtId="10" fontId="32" fillId="0" borderId="41" xfId="4" applyNumberFormat="1" applyFont="1" applyBorder="1" applyAlignment="1" applyProtection="1">
      <alignment horizontal="center" vertical="center" wrapText="1"/>
      <protection hidden="1"/>
    </xf>
    <xf numFmtId="43" fontId="32" fillId="0" borderId="55" xfId="9" applyFont="1" applyBorder="1" applyAlignment="1" applyProtection="1">
      <alignment horizontal="center" vertical="center" wrapText="1"/>
      <protection locked="0"/>
    </xf>
    <xf numFmtId="43" fontId="32" fillId="0" borderId="56" xfId="9" applyFont="1" applyBorder="1" applyAlignment="1" applyProtection="1">
      <alignment horizontal="center" vertical="center" wrapText="1"/>
      <protection locked="0"/>
    </xf>
    <xf numFmtId="43" fontId="32" fillId="0" borderId="57" xfId="9" applyFont="1" applyBorder="1" applyAlignment="1" applyProtection="1">
      <alignment horizontal="center" vertical="center" wrapText="1"/>
      <protection locked="0"/>
    </xf>
    <xf numFmtId="0" fontId="37" fillId="0" borderId="13" xfId="7" applyFont="1" applyBorder="1" applyAlignment="1">
      <alignment horizontal="left" vertical="center" wrapText="1" indent="1"/>
    </xf>
    <xf numFmtId="0" fontId="37" fillId="0" borderId="27" xfId="7" applyFont="1" applyBorder="1" applyAlignment="1">
      <alignment horizontal="left" vertical="center" wrapText="1" indent="1"/>
    </xf>
    <xf numFmtId="0" fontId="33" fillId="0" borderId="22" xfId="6" applyFont="1" applyBorder="1" applyAlignment="1">
      <alignment horizontal="center" vertical="center"/>
    </xf>
    <xf numFmtId="0" fontId="33" fillId="0" borderId="12" xfId="6" applyFont="1" applyBorder="1" applyAlignment="1">
      <alignment horizontal="center" vertical="center"/>
    </xf>
    <xf numFmtId="0" fontId="36" fillId="0" borderId="23" xfId="6" applyFont="1" applyBorder="1" applyAlignment="1" applyProtection="1">
      <alignment horizontal="left" vertical="center" wrapText="1" indent="1"/>
      <protection locked="0"/>
    </xf>
    <xf numFmtId="0" fontId="36" fillId="0" borderId="20" xfId="6" applyFont="1" applyBorder="1" applyAlignment="1" applyProtection="1">
      <alignment horizontal="left" vertical="center" wrapText="1" indent="1"/>
      <protection locked="0"/>
    </xf>
    <xf numFmtId="0" fontId="36" fillId="0" borderId="13" xfId="6" applyFont="1" applyBorder="1" applyAlignment="1" applyProtection="1">
      <alignment horizontal="left" vertical="center" wrapText="1" indent="1"/>
      <protection locked="0"/>
    </xf>
    <xf numFmtId="0" fontId="36" fillId="0" borderId="28" xfId="6" applyFont="1" applyBorder="1" applyAlignment="1" applyProtection="1">
      <alignment horizontal="left" vertical="center" wrapText="1" indent="1"/>
      <protection locked="0"/>
    </xf>
    <xf numFmtId="10" fontId="36" fillId="0" borderId="54" xfId="4" applyNumberFormat="1" applyFont="1" applyBorder="1" applyAlignment="1" applyProtection="1">
      <alignment horizontal="center" vertical="center" wrapText="1"/>
      <protection hidden="1"/>
    </xf>
    <xf numFmtId="10" fontId="36" fillId="0" borderId="41" xfId="4" applyNumberFormat="1" applyFont="1" applyBorder="1" applyAlignment="1" applyProtection="1">
      <alignment horizontal="center" vertical="center" wrapText="1"/>
      <protection hidden="1"/>
    </xf>
    <xf numFmtId="43" fontId="36" fillId="0" borderId="55" xfId="9" applyFont="1" applyBorder="1" applyAlignment="1" applyProtection="1">
      <alignment horizontal="center" vertical="center" wrapText="1"/>
      <protection locked="0"/>
    </xf>
    <xf numFmtId="43" fontId="36" fillId="0" borderId="56" xfId="9" applyFont="1" applyBorder="1" applyAlignment="1" applyProtection="1">
      <alignment horizontal="center" vertical="center" wrapText="1"/>
      <protection locked="0"/>
    </xf>
    <xf numFmtId="43" fontId="36" fillId="0" borderId="57" xfId="9" applyFont="1" applyBorder="1" applyAlignment="1" applyProtection="1">
      <alignment horizontal="center" vertical="center" wrapText="1"/>
      <protection locked="0"/>
    </xf>
    <xf numFmtId="4" fontId="33" fillId="1" borderId="18" xfId="6" applyNumberFormat="1" applyFont="1" applyFill="1" applyBorder="1" applyAlignment="1">
      <alignment horizontal="center" vertical="center"/>
    </xf>
    <xf numFmtId="4" fontId="33" fillId="1" borderId="29" xfId="6" applyNumberFormat="1" applyFont="1" applyFill="1" applyBorder="1" applyAlignment="1">
      <alignment horizontal="center" vertical="center"/>
    </xf>
    <xf numFmtId="4" fontId="33" fillId="1" borderId="14" xfId="6" applyNumberFormat="1" applyFont="1" applyFill="1" applyBorder="1" applyAlignment="1">
      <alignment horizontal="center" vertical="center"/>
    </xf>
    <xf numFmtId="0" fontId="35" fillId="5" borderId="17" xfId="6" applyFont="1" applyFill="1" applyBorder="1" applyAlignment="1">
      <alignment horizontal="left" vertical="center" indent="6"/>
    </xf>
    <xf numFmtId="44" fontId="32" fillId="0" borderId="18" xfId="10" applyFont="1" applyBorder="1" applyAlignment="1" applyProtection="1">
      <alignment horizontal="center" vertical="center" wrapText="1"/>
      <protection hidden="1"/>
    </xf>
    <xf numFmtId="44" fontId="32" fillId="0" borderId="29" xfId="10" applyFont="1" applyBorder="1" applyAlignment="1" applyProtection="1">
      <alignment horizontal="center" vertical="center" wrapText="1"/>
      <protection hidden="1"/>
    </xf>
    <xf numFmtId="44" fontId="32" fillId="0" borderId="14" xfId="10" applyFont="1" applyBorder="1" applyAlignment="1" applyProtection="1">
      <alignment horizontal="center" vertical="center" wrapText="1"/>
      <protection hidden="1"/>
    </xf>
    <xf numFmtId="44" fontId="32" fillId="0" borderId="18" xfId="10" applyFont="1" applyBorder="1" applyAlignment="1" applyProtection="1">
      <alignment horizontal="center" vertical="center" wrapText="1"/>
      <protection locked="0"/>
    </xf>
    <xf numFmtId="44" fontId="32" fillId="0" borderId="29" xfId="10" applyFont="1" applyBorder="1" applyAlignment="1" applyProtection="1">
      <alignment horizontal="center" vertical="center" wrapText="1"/>
      <protection locked="0"/>
    </xf>
    <xf numFmtId="44" fontId="32" fillId="0" borderId="14" xfId="1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35" fillId="5" borderId="17" xfId="6" applyFont="1" applyFill="1" applyBorder="1" applyAlignment="1">
      <alignment horizontal="left" vertical="center" wrapText="1" indent="6"/>
    </xf>
    <xf numFmtId="10" fontId="32" fillId="0" borderId="18" xfId="4" applyNumberFormat="1" applyFont="1" applyBorder="1" applyAlignment="1" applyProtection="1">
      <alignment horizontal="center" vertical="center" wrapText="1"/>
      <protection hidden="1"/>
    </xf>
    <xf numFmtId="10" fontId="32" fillId="0" borderId="29" xfId="4" applyNumberFormat="1" applyFont="1" applyBorder="1" applyAlignment="1" applyProtection="1">
      <alignment horizontal="center" vertical="center" wrapText="1"/>
      <protection hidden="1"/>
    </xf>
    <xf numFmtId="10" fontId="32" fillId="0" borderId="14" xfId="4" applyNumberFormat="1" applyFont="1" applyBorder="1" applyAlignment="1" applyProtection="1">
      <alignment horizontal="center" vertical="center" wrapText="1"/>
      <protection hidden="1"/>
    </xf>
    <xf numFmtId="0" fontId="44" fillId="0" borderId="0" xfId="6" applyFont="1" applyAlignment="1">
      <alignment horizontal="left" vertical="center" wrapText="1"/>
    </xf>
    <xf numFmtId="0" fontId="19" fillId="0" borderId="0" xfId="6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164" fontId="10" fillId="0" borderId="18" xfId="5" applyFont="1" applyBorder="1" applyAlignment="1">
      <alignment horizontal="center" vertical="center"/>
    </xf>
    <xf numFmtId="164" fontId="10" fillId="0" borderId="14" xfId="5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</cellXfs>
  <cellStyles count="11">
    <cellStyle name="Moeda" xfId="5" builtinId="4"/>
    <cellStyle name="Moeda 2" xfId="3" xr:uid="{44DD9A5A-B596-4FDB-88D2-BB54CABCB941}"/>
    <cellStyle name="Moeda 2 2" xfId="8" xr:uid="{B2EECD66-FC7C-4D1B-B810-C050C93E9696}"/>
    <cellStyle name="Moeda 3" xfId="10" xr:uid="{CA0B2D83-CAFE-4175-A51B-95907DC5AD8F}"/>
    <cellStyle name="Normal" xfId="0" builtinId="0"/>
    <cellStyle name="Normal 2" xfId="1" xr:uid="{23A692C7-12D6-46DB-B95C-186290E8D37C}"/>
    <cellStyle name="Normal 2 2" xfId="6" xr:uid="{C39A1968-F9A5-4A4B-9B17-0A52725CE995}"/>
    <cellStyle name="Normal 3" xfId="7" xr:uid="{AFC55A20-74D8-46DE-A7A0-E7E8FD9763B8}"/>
    <cellStyle name="Porcentagem" xfId="4" builtinId="5"/>
    <cellStyle name="Vírgula" xfId="9" builtinId="3"/>
    <cellStyle name="Vírgula 2" xfId="2" xr:uid="{40854593-636E-4B17-813A-C7F4769AFA91}"/>
  </cellStyles>
  <dxfs count="44">
    <dxf>
      <font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772391</xdr:colOff>
      <xdr:row>2</xdr:row>
      <xdr:rowOff>22860</xdr:rowOff>
    </xdr:to>
    <xdr:pic>
      <xdr:nvPicPr>
        <xdr:cNvPr id="2" name="Imagem 1" descr="logo">
          <a:extLst>
            <a:ext uri="{FF2B5EF4-FFF2-40B4-BE49-F238E27FC236}">
              <a16:creationId xmlns:a16="http://schemas.microsoft.com/office/drawing/2014/main" id="{CE5B1BD0-FC6E-4948-807C-B9A8608B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991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52</xdr:row>
      <xdr:rowOff>142875</xdr:rowOff>
    </xdr:from>
    <xdr:to>
      <xdr:col>9</xdr:col>
      <xdr:colOff>1628775</xdr:colOff>
      <xdr:row>61</xdr:row>
      <xdr:rowOff>152399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2A96766-9C21-4517-920A-478900A5D142}"/>
            </a:ext>
          </a:extLst>
        </xdr:cNvPr>
        <xdr:cNvSpPr txBox="1"/>
      </xdr:nvSpPr>
      <xdr:spPr>
        <a:xfrm>
          <a:off x="108857" y="7938135"/>
          <a:ext cx="10244818" cy="1815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OBSERVAÇÃO CONFORME: 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Decreto n.º 66.173 de 27/10/2021 _ "a liberação dos recursos, considerando o valor total destes, observará o seguinte: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até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reais), em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parcela única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R$1.000.000,00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(um milhão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2 (duas) parcelas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igualmente divididas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R$ 1.000.000,00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(hum milhão de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R$ 5.000.000,00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3 (três) parcelas,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 R$ 5.000.000,00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parcelas sucessivas, conforme estipular o respectivo instrumento,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pt-BR"/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45719</xdr:colOff>
      <xdr:row>0</xdr:row>
      <xdr:rowOff>236220</xdr:rowOff>
    </xdr:from>
    <xdr:to>
      <xdr:col>2</xdr:col>
      <xdr:colOff>1848196</xdr:colOff>
      <xdr:row>4</xdr:row>
      <xdr:rowOff>45720</xdr:rowOff>
    </xdr:to>
    <xdr:pic>
      <xdr:nvPicPr>
        <xdr:cNvPr id="3" name="Imagem 2" descr="logo">
          <a:extLst>
            <a:ext uri="{FF2B5EF4-FFF2-40B4-BE49-F238E27FC236}">
              <a16:creationId xmlns:a16="http://schemas.microsoft.com/office/drawing/2014/main" id="{3876825B-F31A-4596-A961-43327E84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236220"/>
          <a:ext cx="3006437" cy="9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8D55-8A85-4208-AF8C-4A42B0B80555}">
  <sheetPr>
    <pageSetUpPr fitToPage="1"/>
  </sheetPr>
  <dimension ref="C9:Q54"/>
  <sheetViews>
    <sheetView showGridLines="0" tabSelected="1" view="pageBreakPreview" topLeftCell="A16" zoomScaleNormal="100" zoomScaleSheetLayoutView="100" workbookViewId="0">
      <selection activeCell="L7" sqref="L7"/>
    </sheetView>
  </sheetViews>
  <sheetFormatPr defaultColWidth="8.85546875" defaultRowHeight="15" x14ac:dyDescent="0.25"/>
  <cols>
    <col min="1" max="2" width="8.85546875" style="82"/>
    <col min="3" max="3" width="9.85546875" style="82" customWidth="1"/>
    <col min="4" max="4" width="6.42578125" style="82" customWidth="1"/>
    <col min="5" max="5" width="9.7109375" style="82" bestFit="1" customWidth="1"/>
    <col min="6" max="6" width="58" style="82" customWidth="1"/>
    <col min="7" max="7" width="5.7109375" style="82" customWidth="1"/>
    <col min="8" max="8" width="9.28515625" style="82" customWidth="1"/>
    <col min="9" max="9" width="12.7109375" style="82" bestFit="1" customWidth="1"/>
    <col min="10" max="10" width="15.7109375" style="82" bestFit="1" customWidth="1"/>
    <col min="11" max="11" width="11.28515625" style="82" customWidth="1"/>
    <col min="12" max="12" width="11.140625" style="82" customWidth="1"/>
    <col min="13" max="14" width="8.85546875" style="82" customWidth="1"/>
    <col min="15" max="15" width="8.85546875" style="82"/>
    <col min="16" max="16" width="13" style="82" bestFit="1" customWidth="1"/>
    <col min="17" max="17" width="13" style="82" customWidth="1"/>
    <col min="18" max="16384" width="8.85546875" style="82"/>
  </cols>
  <sheetData>
    <row r="9" spans="3:12" x14ac:dyDescent="0.25">
      <c r="C9" s="269" t="s">
        <v>30</v>
      </c>
      <c r="D9" s="269"/>
      <c r="E9" s="269"/>
      <c r="F9" s="269"/>
      <c r="G9" s="269"/>
      <c r="H9" s="269"/>
      <c r="I9" s="269"/>
      <c r="J9" s="269"/>
    </row>
    <row r="10" spans="3:12" s="84" customFormat="1" ht="12.75" x14ac:dyDescent="0.25">
      <c r="C10" s="84" t="s">
        <v>29</v>
      </c>
    </row>
    <row r="11" spans="3:12" s="84" customFormat="1" ht="12.75" x14ac:dyDescent="0.25">
      <c r="C11" s="121" t="s">
        <v>217</v>
      </c>
      <c r="D11" s="111"/>
      <c r="E11" s="111"/>
      <c r="F11" s="111"/>
    </row>
    <row r="12" spans="3:12" s="84" customFormat="1" ht="12.75" x14ac:dyDescent="0.25">
      <c r="C12" s="121" t="s">
        <v>98</v>
      </c>
    </row>
    <row r="13" spans="3:12" s="84" customFormat="1" ht="13.9" customHeight="1" thickBot="1" x14ac:dyDescent="0.3">
      <c r="C13" s="84" t="s">
        <v>216</v>
      </c>
      <c r="J13" s="85" t="s">
        <v>218</v>
      </c>
    </row>
    <row r="14" spans="3:12" x14ac:dyDescent="0.25">
      <c r="C14" s="275" t="s">
        <v>1</v>
      </c>
      <c r="D14" s="277" t="s">
        <v>2</v>
      </c>
      <c r="E14" s="277" t="s">
        <v>3</v>
      </c>
      <c r="F14" s="279" t="s">
        <v>4</v>
      </c>
      <c r="G14" s="281" t="s">
        <v>5</v>
      </c>
      <c r="H14" s="283" t="s">
        <v>6</v>
      </c>
      <c r="I14" s="285" t="s">
        <v>7</v>
      </c>
      <c r="J14" s="272" t="s">
        <v>8</v>
      </c>
    </row>
    <row r="15" spans="3:12" ht="15.75" thickBot="1" x14ac:dyDescent="0.3">
      <c r="C15" s="276"/>
      <c r="D15" s="278"/>
      <c r="E15" s="278"/>
      <c r="F15" s="280"/>
      <c r="G15" s="282"/>
      <c r="H15" s="284"/>
      <c r="I15" s="286"/>
      <c r="J15" s="273"/>
    </row>
    <row r="16" spans="3:12" x14ac:dyDescent="0.25">
      <c r="C16" s="86"/>
      <c r="D16" s="87" t="s">
        <v>9</v>
      </c>
      <c r="E16" s="87"/>
      <c r="F16" s="88" t="s">
        <v>10</v>
      </c>
      <c r="G16" s="89"/>
      <c r="H16" s="90"/>
      <c r="I16" s="21" t="str">
        <f>IF($A16="","",IF($G$10="SIM",VLOOKUP($C16,#REF!,6,0),VLOOKUP($C16,#REF!,6,0)))</f>
        <v/>
      </c>
      <c r="J16" s="91">
        <f>SUBTOTAL(9,J17:J19)</f>
        <v>63710.400000000001</v>
      </c>
      <c r="K16" s="92">
        <f>SUBTOTAL(9,K17:K19)</f>
        <v>76197.638399999996</v>
      </c>
      <c r="L16" s="93"/>
    </row>
    <row r="17" spans="3:12" x14ac:dyDescent="0.25">
      <c r="C17" s="22" t="s">
        <v>0</v>
      </c>
      <c r="D17" s="23" t="s">
        <v>11</v>
      </c>
      <c r="E17" s="24" t="s">
        <v>12</v>
      </c>
      <c r="F17" s="25" t="s">
        <v>13</v>
      </c>
      <c r="G17" s="26" t="s">
        <v>14</v>
      </c>
      <c r="H17" s="27">
        <f>ROUND('Memorial de calculo'!D16,2)</f>
        <v>6</v>
      </c>
      <c r="I17" s="28">
        <v>631.34</v>
      </c>
      <c r="J17" s="29">
        <f>ROUND(I17*H17,2)</f>
        <v>3788.04</v>
      </c>
      <c r="K17" s="94">
        <f>J17*1.196</f>
        <v>4530.4958399999996</v>
      </c>
      <c r="L17" s="93"/>
    </row>
    <row r="18" spans="3:12" ht="38.25" x14ac:dyDescent="0.25">
      <c r="C18" s="203" t="s">
        <v>0</v>
      </c>
      <c r="D18" s="204" t="s">
        <v>75</v>
      </c>
      <c r="E18" s="205" t="s">
        <v>77</v>
      </c>
      <c r="F18" s="206" t="s">
        <v>78</v>
      </c>
      <c r="G18" s="207" t="s">
        <v>14</v>
      </c>
      <c r="H18" s="208">
        <f>ROUND('Memorial de calculo'!G25,2)</f>
        <v>2452.69</v>
      </c>
      <c r="I18" s="209">
        <v>24.2</v>
      </c>
      <c r="J18" s="201">
        <f>ROUND(I18*H18,2)</f>
        <v>59355.1</v>
      </c>
      <c r="K18" s="94">
        <f>J18*1.196</f>
        <v>70988.699599999993</v>
      </c>
      <c r="L18" s="93"/>
    </row>
    <row r="19" spans="3:12" ht="28.35" customHeight="1" x14ac:dyDescent="0.25">
      <c r="C19" s="203" t="s">
        <v>0</v>
      </c>
      <c r="D19" s="204" t="s">
        <v>76</v>
      </c>
      <c r="E19" s="205" t="s">
        <v>142</v>
      </c>
      <c r="F19" s="206" t="s">
        <v>144</v>
      </c>
      <c r="G19" s="207" t="s">
        <v>95</v>
      </c>
      <c r="H19" s="208">
        <f>ROUND('Memorial de calculo'!D35,2)</f>
        <v>77.599999999999994</v>
      </c>
      <c r="I19" s="209">
        <v>7.31</v>
      </c>
      <c r="J19" s="201">
        <f>ROUND(I19*H19,2)</f>
        <v>567.26</v>
      </c>
      <c r="K19" s="94">
        <f>J19*1.196</f>
        <v>678.44295999999997</v>
      </c>
      <c r="L19" s="93"/>
    </row>
    <row r="20" spans="3:12" x14ac:dyDescent="0.25">
      <c r="C20" s="22"/>
      <c r="D20" s="23"/>
      <c r="E20" s="24"/>
      <c r="F20" s="25" t="s">
        <v>143</v>
      </c>
      <c r="G20" s="26" t="str">
        <f>IF($A20="","",VLOOKUP($C20,#REF!,3,0))</f>
        <v/>
      </c>
      <c r="H20" s="27"/>
      <c r="I20" s="28" t="str">
        <f>IF($A20="","",IF($G$10="SIM",VLOOKUP($C20,#REF!,6,0),VLOOKUP($C20,#REF!,6,0)))</f>
        <v/>
      </c>
      <c r="J20" s="29" t="str">
        <f>IF($A20="","",ROUND(H20*#REF!,2))</f>
        <v/>
      </c>
      <c r="K20" s="93"/>
      <c r="L20" s="93"/>
    </row>
    <row r="21" spans="3:12" x14ac:dyDescent="0.25">
      <c r="C21" s="30"/>
      <c r="D21" s="95" t="s">
        <v>15</v>
      </c>
      <c r="E21" s="95"/>
      <c r="F21" s="96" t="s">
        <v>86</v>
      </c>
      <c r="G21" s="31" t="s">
        <v>27</v>
      </c>
      <c r="H21" s="97"/>
      <c r="I21" s="32" t="str">
        <f>IF($A21="","",IF($G$10="SIM",VLOOKUP($C21,#REF!,6,0),VLOOKUP($C21,#REF!,6,0)))</f>
        <v/>
      </c>
      <c r="J21" s="98">
        <f>SUBTOTAL(9,J22:J28)</f>
        <v>181037.85</v>
      </c>
      <c r="K21" s="92">
        <f>SUBTOTAL(9,K22:K28)</f>
        <v>216521.26860000001</v>
      </c>
      <c r="L21" s="93"/>
    </row>
    <row r="22" spans="3:12" ht="25.5" x14ac:dyDescent="0.25">
      <c r="C22" s="22" t="s">
        <v>0</v>
      </c>
      <c r="D22" s="23" t="s">
        <v>16</v>
      </c>
      <c r="E22" s="24" t="s">
        <v>93</v>
      </c>
      <c r="F22" s="25" t="s">
        <v>94</v>
      </c>
      <c r="G22" s="26" t="s">
        <v>79</v>
      </c>
      <c r="H22" s="27">
        <f>ROUND('Memorial de calculo'!G47,2)</f>
        <v>2.06</v>
      </c>
      <c r="I22" s="28">
        <v>764.07</v>
      </c>
      <c r="J22" s="201">
        <f t="shared" ref="J22:J25" si="0">ROUND(I22*H22,2)</f>
        <v>1573.98</v>
      </c>
      <c r="K22" s="94">
        <f>J22*1.196</f>
        <v>1882.48008</v>
      </c>
      <c r="L22" s="93"/>
    </row>
    <row r="23" spans="3:12" x14ac:dyDescent="0.25">
      <c r="C23" s="22" t="s">
        <v>0</v>
      </c>
      <c r="D23" s="23" t="s">
        <v>17</v>
      </c>
      <c r="E23" s="24" t="s">
        <v>88</v>
      </c>
      <c r="F23" s="25" t="s">
        <v>89</v>
      </c>
      <c r="G23" s="26" t="s">
        <v>95</v>
      </c>
      <c r="H23" s="27">
        <f>ROUND('Memorial de calculo'!D56,2)</f>
        <v>28</v>
      </c>
      <c r="I23" s="28">
        <v>51.22</v>
      </c>
      <c r="J23" s="201">
        <f t="shared" si="0"/>
        <v>1434.16</v>
      </c>
      <c r="K23" s="94">
        <f t="shared" ref="K23:K25" si="1">J23*1.196</f>
        <v>1715.2553600000001</v>
      </c>
      <c r="L23" s="99"/>
    </row>
    <row r="24" spans="3:12" ht="25.5" x14ac:dyDescent="0.25">
      <c r="C24" s="22" t="s">
        <v>0</v>
      </c>
      <c r="D24" s="23" t="s">
        <v>18</v>
      </c>
      <c r="E24" s="24" t="s">
        <v>80</v>
      </c>
      <c r="F24" s="25" t="s">
        <v>81</v>
      </c>
      <c r="G24" s="26" t="s">
        <v>14</v>
      </c>
      <c r="H24" s="27">
        <f>ROUND('Memorial de calculo'!G65,2)</f>
        <v>244.76</v>
      </c>
      <c r="I24" s="28">
        <v>80.92</v>
      </c>
      <c r="J24" s="201">
        <f t="shared" si="0"/>
        <v>19805.98</v>
      </c>
      <c r="K24" s="94">
        <f t="shared" si="1"/>
        <v>23687.952079999999</v>
      </c>
      <c r="L24" s="99"/>
    </row>
    <row r="25" spans="3:12" ht="38.25" x14ac:dyDescent="0.25">
      <c r="C25" s="22" t="s">
        <v>0</v>
      </c>
      <c r="D25" s="23" t="s">
        <v>90</v>
      </c>
      <c r="E25" s="24" t="s">
        <v>85</v>
      </c>
      <c r="F25" s="25" t="s">
        <v>87</v>
      </c>
      <c r="G25" s="26" t="s">
        <v>14</v>
      </c>
      <c r="H25" s="27">
        <f>ROUND('Memorial de calculo'!G79,2)</f>
        <v>2178.4899999999998</v>
      </c>
      <c r="I25" s="28">
        <v>72.63</v>
      </c>
      <c r="J25" s="201">
        <f t="shared" si="0"/>
        <v>158223.73000000001</v>
      </c>
      <c r="K25" s="94">
        <f t="shared" si="1"/>
        <v>189235.58108</v>
      </c>
      <c r="L25" s="99"/>
    </row>
    <row r="26" spans="3:12" hidden="1" x14ac:dyDescent="0.25">
      <c r="C26" s="22" t="s">
        <v>0</v>
      </c>
      <c r="D26" s="23" t="s">
        <v>91</v>
      </c>
      <c r="E26" s="24"/>
      <c r="F26" s="25"/>
      <c r="G26" s="26"/>
      <c r="H26" s="27"/>
      <c r="I26" s="28"/>
      <c r="J26" s="29"/>
      <c r="K26" s="93"/>
      <c r="L26" s="99"/>
    </row>
    <row r="27" spans="3:12" hidden="1" x14ac:dyDescent="0.25">
      <c r="C27" s="22" t="s">
        <v>0</v>
      </c>
      <c r="D27" s="23" t="s">
        <v>92</v>
      </c>
      <c r="E27" s="24"/>
      <c r="F27" s="25"/>
      <c r="G27" s="26"/>
      <c r="H27" s="27"/>
      <c r="I27" s="28"/>
      <c r="J27" s="29"/>
      <c r="K27" s="93"/>
      <c r="L27" s="99"/>
    </row>
    <row r="28" spans="3:12" hidden="1" x14ac:dyDescent="0.25">
      <c r="C28" s="22" t="s">
        <v>0</v>
      </c>
      <c r="D28" s="23" t="s">
        <v>92</v>
      </c>
      <c r="E28" s="24"/>
      <c r="F28" s="25"/>
      <c r="G28" s="26"/>
      <c r="H28" s="27"/>
      <c r="I28" s="28"/>
      <c r="J28" s="29"/>
      <c r="K28" s="93"/>
      <c r="L28" s="99"/>
    </row>
    <row r="29" spans="3:12" x14ac:dyDescent="0.25">
      <c r="C29" s="22"/>
      <c r="D29" s="23"/>
      <c r="E29" s="24"/>
      <c r="F29" s="25" t="str">
        <f>IF($A29="","",VLOOKUP($C29,#REF!,2,0))</f>
        <v/>
      </c>
      <c r="G29" s="26" t="str">
        <f>IF($A29="","",VLOOKUP($C29,#REF!,3,0))</f>
        <v/>
      </c>
      <c r="H29" s="27"/>
      <c r="I29" s="28" t="str">
        <f>IF($A29="","",IF($G$10="SIM",VLOOKUP($C29,#REF!,6,0),VLOOKUP($C29,#REF!,6,0)))</f>
        <v/>
      </c>
      <c r="J29" s="29" t="str">
        <f>IF($A29="","",ROUND(H29*#REF!,2))</f>
        <v/>
      </c>
      <c r="K29" s="93"/>
      <c r="L29" s="93"/>
    </row>
    <row r="30" spans="3:12" x14ac:dyDescent="0.25">
      <c r="C30" s="30"/>
      <c r="D30" s="95" t="s">
        <v>19</v>
      </c>
      <c r="E30" s="95"/>
      <c r="F30" s="96" t="s">
        <v>82</v>
      </c>
      <c r="G30" s="31" t="s">
        <v>27</v>
      </c>
      <c r="H30" s="33"/>
      <c r="I30" s="32" t="str">
        <f>IF($A30="","",IF($G$10="SIM",VLOOKUP($C30,#REF!,6,0),VLOOKUP($C30,#REF!,6,0)))</f>
        <v/>
      </c>
      <c r="J30" s="98">
        <f>SUBTOTAL(9,J31)</f>
        <v>8426.9599999999991</v>
      </c>
      <c r="K30" s="92">
        <f>SUBTOTAL(9,K31:K31)</f>
        <v>10078.644159999998</v>
      </c>
      <c r="L30" s="93"/>
    </row>
    <row r="31" spans="3:12" x14ac:dyDescent="0.25">
      <c r="C31" s="22" t="s">
        <v>0</v>
      </c>
      <c r="D31" s="23" t="s">
        <v>21</v>
      </c>
      <c r="E31" s="24" t="s">
        <v>83</v>
      </c>
      <c r="F31" s="25" t="s">
        <v>84</v>
      </c>
      <c r="G31" s="26" t="s">
        <v>14</v>
      </c>
      <c r="H31" s="27">
        <f>ROUND('Memorial de calculo'!G87,2)</f>
        <v>221.18</v>
      </c>
      <c r="I31" s="28">
        <v>38.1</v>
      </c>
      <c r="J31" s="201">
        <f>ROUND(I31*H31,2)</f>
        <v>8426.9599999999991</v>
      </c>
      <c r="K31" s="94">
        <f t="shared" ref="K31" si="2">J31*1.196</f>
        <v>10078.644159999998</v>
      </c>
      <c r="L31" s="99"/>
    </row>
    <row r="32" spans="3:12" x14ac:dyDescent="0.25">
      <c r="C32" s="22"/>
      <c r="D32" s="23"/>
      <c r="E32" s="24"/>
      <c r="F32" s="25"/>
      <c r="G32" s="26"/>
      <c r="H32" s="27"/>
      <c r="I32" s="28"/>
      <c r="J32" s="201"/>
      <c r="K32" s="94"/>
      <c r="L32" s="99"/>
    </row>
    <row r="33" spans="3:17" x14ac:dyDescent="0.25">
      <c r="C33" s="30"/>
      <c r="D33" s="95" t="s">
        <v>154</v>
      </c>
      <c r="E33" s="95"/>
      <c r="F33" s="96" t="s">
        <v>159</v>
      </c>
      <c r="G33" s="31" t="s">
        <v>27</v>
      </c>
      <c r="H33" s="33"/>
      <c r="I33" s="32" t="str">
        <f>IF($A33="","",IF($G$10="SIM",VLOOKUP($C33,#REF!,6,0),VLOOKUP($C33,#REF!,6,0)))</f>
        <v/>
      </c>
      <c r="J33" s="98">
        <f>SUBTOTAL(9,J34:J42)</f>
        <v>11879.27</v>
      </c>
      <c r="K33" s="92">
        <f>SUBTOTAL(9,K34:K42)</f>
        <v>12071.206920000001</v>
      </c>
      <c r="L33" s="93"/>
    </row>
    <row r="34" spans="3:17" x14ac:dyDescent="0.25">
      <c r="C34" s="22" t="s">
        <v>0</v>
      </c>
      <c r="D34" s="23" t="s">
        <v>155</v>
      </c>
      <c r="E34" s="24" t="s">
        <v>179</v>
      </c>
      <c r="F34" s="25" t="s">
        <v>180</v>
      </c>
      <c r="G34" s="26" t="s">
        <v>95</v>
      </c>
      <c r="H34" s="27">
        <f>ROUND('Memorial de calculo'!F91,2)</f>
        <v>4.5</v>
      </c>
      <c r="I34" s="28">
        <v>55.49</v>
      </c>
      <c r="J34" s="201">
        <f>ROUND(I34*H34,2)</f>
        <v>249.71</v>
      </c>
      <c r="K34" s="94">
        <f t="shared" ref="K34:K41" si="3">J34*1.196</f>
        <v>298.65316000000001</v>
      </c>
      <c r="L34" s="93"/>
    </row>
    <row r="35" spans="3:17" x14ac:dyDescent="0.25">
      <c r="C35" s="22" t="s">
        <v>0</v>
      </c>
      <c r="D35" s="23" t="s">
        <v>156</v>
      </c>
      <c r="E35" s="24" t="s">
        <v>163</v>
      </c>
      <c r="F35" s="25" t="s">
        <v>164</v>
      </c>
      <c r="G35" s="26" t="s">
        <v>165</v>
      </c>
      <c r="H35" s="27">
        <f>ROUND('Memorial de calculo'!F96,2)</f>
        <v>0.72</v>
      </c>
      <c r="I35" s="28">
        <v>41.88</v>
      </c>
      <c r="J35" s="201">
        <f>ROUND(I35*H35,2)</f>
        <v>30.15</v>
      </c>
      <c r="K35" s="94">
        <f t="shared" si="3"/>
        <v>36.059399999999997</v>
      </c>
      <c r="L35" s="99"/>
    </row>
    <row r="36" spans="3:17" x14ac:dyDescent="0.25">
      <c r="C36" s="22" t="s">
        <v>0</v>
      </c>
      <c r="D36" s="23" t="s">
        <v>157</v>
      </c>
      <c r="E36" s="24" t="s">
        <v>166</v>
      </c>
      <c r="F36" s="25" t="s">
        <v>167</v>
      </c>
      <c r="G36" s="26" t="s">
        <v>165</v>
      </c>
      <c r="H36" s="27">
        <f>ROUND('Memorial de calculo'!F101,2)</f>
        <v>0.06</v>
      </c>
      <c r="I36" s="28">
        <v>129.61000000000001</v>
      </c>
      <c r="J36" s="201">
        <f t="shared" ref="J36:J42" si="4">ROUND(I36*H36,2)</f>
        <v>7.78</v>
      </c>
      <c r="K36" s="94">
        <f t="shared" si="3"/>
        <v>9.3048800000000007</v>
      </c>
      <c r="L36" s="99"/>
    </row>
    <row r="37" spans="3:17" x14ac:dyDescent="0.25">
      <c r="C37" s="22" t="s">
        <v>0</v>
      </c>
      <c r="D37" s="23" t="s">
        <v>158</v>
      </c>
      <c r="E37" s="24" t="s">
        <v>168</v>
      </c>
      <c r="F37" s="25" t="s">
        <v>169</v>
      </c>
      <c r="G37" s="26" t="s">
        <v>170</v>
      </c>
      <c r="H37" s="27">
        <f>ROUND('Memorial de calculo'!F106,2)</f>
        <v>2.48</v>
      </c>
      <c r="I37" s="28">
        <v>81.69</v>
      </c>
      <c r="J37" s="201">
        <f t="shared" si="4"/>
        <v>202.59</v>
      </c>
      <c r="K37" s="94">
        <f t="shared" si="3"/>
        <v>242.29764</v>
      </c>
      <c r="L37" s="99"/>
    </row>
    <row r="38" spans="3:17" x14ac:dyDescent="0.25">
      <c r="C38" s="22" t="s">
        <v>0</v>
      </c>
      <c r="D38" s="23" t="s">
        <v>161</v>
      </c>
      <c r="E38" s="24" t="s">
        <v>172</v>
      </c>
      <c r="F38" s="25" t="s">
        <v>171</v>
      </c>
      <c r="G38" s="26" t="s">
        <v>173</v>
      </c>
      <c r="H38" s="27">
        <f>ROUND('Memorial de calculo'!E111,2)</f>
        <v>10.43</v>
      </c>
      <c r="I38" s="28">
        <v>12.93</v>
      </c>
      <c r="J38" s="201">
        <f t="shared" si="4"/>
        <v>134.86000000000001</v>
      </c>
      <c r="K38" s="94">
        <f t="shared" si="3"/>
        <v>161.29256000000001</v>
      </c>
      <c r="L38" s="99"/>
    </row>
    <row r="39" spans="3:17" x14ac:dyDescent="0.25">
      <c r="C39" s="22" t="s">
        <v>0</v>
      </c>
      <c r="D39" s="23" t="s">
        <v>162</v>
      </c>
      <c r="E39" s="24" t="s">
        <v>207</v>
      </c>
      <c r="F39" s="25" t="s">
        <v>206</v>
      </c>
      <c r="G39" s="26" t="s">
        <v>173</v>
      </c>
      <c r="H39" s="27">
        <f>ROUND('Memorial de calculo'!E116,2)</f>
        <v>6.37</v>
      </c>
      <c r="I39" s="28">
        <v>15.84</v>
      </c>
      <c r="J39" s="201">
        <f t="shared" si="4"/>
        <v>100.9</v>
      </c>
      <c r="K39" s="94">
        <f t="shared" si="3"/>
        <v>120.6764</v>
      </c>
      <c r="L39" s="99"/>
    </row>
    <row r="40" spans="3:17" x14ac:dyDescent="0.25">
      <c r="C40" s="22" t="s">
        <v>0</v>
      </c>
      <c r="D40" s="23" t="s">
        <v>176</v>
      </c>
      <c r="E40" s="24" t="s">
        <v>196</v>
      </c>
      <c r="F40" s="25" t="s">
        <v>195</v>
      </c>
      <c r="G40" s="26" t="s">
        <v>165</v>
      </c>
      <c r="H40" s="27">
        <f>ROUND('Memorial de calculo'!G129,2)</f>
        <v>0.52</v>
      </c>
      <c r="I40" s="28">
        <v>345.86</v>
      </c>
      <c r="J40" s="201">
        <f t="shared" si="4"/>
        <v>179.85</v>
      </c>
      <c r="K40" s="94">
        <f t="shared" si="3"/>
        <v>215.10059999999999</v>
      </c>
      <c r="L40" s="99"/>
    </row>
    <row r="41" spans="3:17" x14ac:dyDescent="0.25">
      <c r="C41" s="22" t="s">
        <v>0</v>
      </c>
      <c r="D41" s="23" t="s">
        <v>177</v>
      </c>
      <c r="E41" s="24" t="s">
        <v>175</v>
      </c>
      <c r="F41" s="25" t="s">
        <v>174</v>
      </c>
      <c r="G41" s="26" t="s">
        <v>165</v>
      </c>
      <c r="H41" s="27">
        <f>ROUND('Memorial de calculo'!G141,2)</f>
        <v>0.52</v>
      </c>
      <c r="I41" s="28">
        <v>141.22</v>
      </c>
      <c r="J41" s="201">
        <f t="shared" si="4"/>
        <v>73.430000000000007</v>
      </c>
      <c r="K41" s="94">
        <f t="shared" si="3"/>
        <v>87.822280000000006</v>
      </c>
      <c r="L41" s="99"/>
      <c r="P41" s="147">
        <v>253965.52</v>
      </c>
    </row>
    <row r="42" spans="3:17" ht="28.9" customHeight="1" x14ac:dyDescent="0.25">
      <c r="C42" s="22" t="s">
        <v>197</v>
      </c>
      <c r="D42" s="23" t="s">
        <v>178</v>
      </c>
      <c r="E42" s="24" t="s">
        <v>72</v>
      </c>
      <c r="F42" s="25" t="s">
        <v>215</v>
      </c>
      <c r="G42" s="26" t="s">
        <v>160</v>
      </c>
      <c r="H42" s="27">
        <v>1</v>
      </c>
      <c r="I42" s="28">
        <v>10900</v>
      </c>
      <c r="J42" s="201">
        <f t="shared" si="4"/>
        <v>10900</v>
      </c>
      <c r="K42" s="94">
        <f>I42</f>
        <v>10900</v>
      </c>
      <c r="L42" s="254">
        <f>K42-J42</f>
        <v>0</v>
      </c>
    </row>
    <row r="43" spans="3:17" ht="15.75" thickBot="1" x14ac:dyDescent="0.3">
      <c r="C43" s="22"/>
      <c r="D43" s="23"/>
      <c r="E43" s="24"/>
      <c r="F43" s="25"/>
      <c r="G43" s="26"/>
      <c r="H43" s="27"/>
      <c r="I43" s="28"/>
      <c r="J43" s="29"/>
      <c r="K43" s="94"/>
      <c r="L43" s="99"/>
      <c r="P43" s="147"/>
      <c r="Q43" s="147"/>
    </row>
    <row r="44" spans="3:17" ht="16.5" thickBot="1" x14ac:dyDescent="0.3">
      <c r="C44" s="79"/>
      <c r="D44" s="80"/>
      <c r="E44" s="274" t="s">
        <v>8</v>
      </c>
      <c r="F44" s="274"/>
      <c r="G44" s="274"/>
      <c r="H44" s="274"/>
      <c r="I44" s="274"/>
      <c r="J44" s="81">
        <f>SUBTOTAL(9,J16:J43)</f>
        <v>265054.48</v>
      </c>
      <c r="K44" s="92">
        <f t="shared" ref="K44:K45" si="5">SUBTOTAL(9,K45:K45)</f>
        <v>0</v>
      </c>
      <c r="L44" s="99"/>
    </row>
    <row r="45" spans="3:17" ht="16.5" thickBot="1" x14ac:dyDescent="0.3">
      <c r="C45" s="79"/>
      <c r="D45" s="80"/>
      <c r="E45" s="83" t="s">
        <v>28</v>
      </c>
      <c r="F45" s="83"/>
      <c r="G45" s="83"/>
      <c r="H45" s="83"/>
      <c r="I45" s="34">
        <v>0.19600000000000001</v>
      </c>
      <c r="J45" s="81">
        <f>(J44-J42)*I45</f>
        <v>49814.278079999996</v>
      </c>
      <c r="K45" s="92">
        <f t="shared" si="5"/>
        <v>0</v>
      </c>
      <c r="L45" s="99"/>
      <c r="P45" s="147">
        <f>J46-P41</f>
        <v>60903.23808000001</v>
      </c>
      <c r="Q45" s="147"/>
    </row>
    <row r="46" spans="3:17" ht="16.5" thickBot="1" x14ac:dyDescent="0.3">
      <c r="C46" s="79"/>
      <c r="D46" s="80"/>
      <c r="E46" s="274" t="s">
        <v>20</v>
      </c>
      <c r="F46" s="274"/>
      <c r="G46" s="274"/>
      <c r="H46" s="274"/>
      <c r="I46" s="274"/>
      <c r="J46" s="81">
        <f>J45+J44</f>
        <v>314868.75808</v>
      </c>
      <c r="K46" s="94"/>
      <c r="L46" s="99"/>
    </row>
    <row r="47" spans="3:17" ht="15.6" customHeight="1" x14ac:dyDescent="0.25">
      <c r="C47" s="100"/>
      <c r="D47" s="100"/>
      <c r="E47" s="101"/>
      <c r="F47" s="102"/>
      <c r="G47" s="100"/>
      <c r="H47" s="103"/>
      <c r="I47" s="1"/>
      <c r="J47" s="103"/>
    </row>
    <row r="48" spans="3:17" ht="15.6" customHeight="1" x14ac:dyDescent="0.25">
      <c r="I48" s="1"/>
      <c r="J48" s="103"/>
    </row>
    <row r="49" spans="9:12" ht="15.6" customHeight="1" x14ac:dyDescent="0.25">
      <c r="I49" s="1"/>
      <c r="J49" s="103"/>
    </row>
    <row r="50" spans="9:12" x14ac:dyDescent="0.25">
      <c r="I50" s="1"/>
      <c r="J50" s="103"/>
    </row>
    <row r="51" spans="9:12" x14ac:dyDescent="0.25">
      <c r="I51" s="106"/>
      <c r="L51" s="104"/>
    </row>
    <row r="52" spans="9:12" x14ac:dyDescent="0.25">
      <c r="I52" s="271" t="s">
        <v>33</v>
      </c>
      <c r="J52" s="271"/>
      <c r="L52" s="105"/>
    </row>
    <row r="53" spans="9:12" x14ac:dyDescent="0.25">
      <c r="I53" s="270" t="s">
        <v>31</v>
      </c>
      <c r="J53" s="270"/>
    </row>
    <row r="54" spans="9:12" x14ac:dyDescent="0.25">
      <c r="I54" s="270" t="s">
        <v>32</v>
      </c>
      <c r="J54" s="270"/>
    </row>
  </sheetData>
  <mergeCells count="14">
    <mergeCell ref="C9:J9"/>
    <mergeCell ref="I53:J53"/>
    <mergeCell ref="I52:J52"/>
    <mergeCell ref="I54:J54"/>
    <mergeCell ref="J14:J15"/>
    <mergeCell ref="E46:I46"/>
    <mergeCell ref="C14:C15"/>
    <mergeCell ref="D14:D15"/>
    <mergeCell ref="E14:E15"/>
    <mergeCell ref="F14:F15"/>
    <mergeCell ref="G14:G15"/>
    <mergeCell ref="H14:H15"/>
    <mergeCell ref="I14:I15"/>
    <mergeCell ref="E44:I44"/>
  </mergeCells>
  <phoneticPr fontId="7" type="noConversion"/>
  <printOptions horizontalCentered="1"/>
  <pageMargins left="0.98425196850393704" right="0.98425196850393704" top="1.7716535433070866" bottom="0.98425196850393704" header="0.31496062992125984" footer="0.31496062992125984"/>
  <pageSetup paperSize="9" scale="62" orientation="portrait" r:id="rId1"/>
  <ignoredErrors>
    <ignoredError sqref="E17:E19 E22:E23 E31 E24:E25 E34:E39 E41 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6350-DF45-49C7-9421-C97DC73947BA}">
  <sheetPr>
    <pageSetUpPr fitToPage="1"/>
  </sheetPr>
  <dimension ref="B9:L34"/>
  <sheetViews>
    <sheetView topLeftCell="A20" zoomScale="145" zoomScaleNormal="145" zoomScaleSheetLayoutView="85" workbookViewId="0">
      <selection activeCell="B25" sqref="B25:C25"/>
    </sheetView>
  </sheetViews>
  <sheetFormatPr defaultColWidth="8.85546875" defaultRowHeight="14.25" x14ac:dyDescent="0.2"/>
  <cols>
    <col min="1" max="1" width="8.85546875" style="40"/>
    <col min="2" max="2" width="5.85546875" style="40" customWidth="1"/>
    <col min="3" max="3" width="26.7109375" style="40" customWidth="1"/>
    <col min="4" max="4" width="12.5703125" style="41" customWidth="1"/>
    <col min="5" max="6" width="12.140625" style="40" bestFit="1" customWidth="1"/>
    <col min="7" max="7" width="12" style="40" customWidth="1"/>
    <col min="8" max="8" width="12.28515625" style="40" customWidth="1"/>
    <col min="9" max="9" width="11.85546875" style="40" customWidth="1"/>
    <col min="10" max="11" width="11" style="40" hidden="1" customWidth="1"/>
    <col min="12" max="12" width="13.42578125" style="40" customWidth="1"/>
    <col min="13" max="16384" width="8.85546875" style="40"/>
  </cols>
  <sheetData>
    <row r="9" spans="2:12" ht="15" x14ac:dyDescent="0.25">
      <c r="B9" s="295" t="s">
        <v>44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</row>
    <row r="10" spans="2:12" s="2" customFormat="1" ht="12.75" x14ac:dyDescent="0.2">
      <c r="B10" s="2" t="s">
        <v>29</v>
      </c>
      <c r="C10" s="38"/>
    </row>
    <row r="11" spans="2:12" s="2" customFormat="1" ht="12.75" x14ac:dyDescent="0.2">
      <c r="B11" s="2" t="str">
        <f>Planilha_Orçamentaria_183!C11</f>
        <v>OBJETO: REVITALIZAÇÃO, PAISAGISMO E IMPLANTAÇÃO DE ACESSIBILIDADE DA AV. JORGE SALUSTIANO DE JESUS</v>
      </c>
      <c r="C11" s="38"/>
    </row>
    <row r="12" spans="2:12" s="2" customFormat="1" ht="12.75" x14ac:dyDescent="0.2">
      <c r="B12" s="2" t="str">
        <f>Planilha_Orçamentaria_183!C12</f>
        <v>LOCAL: AVENIDA JORGE SALUSTIANO DE JESUS</v>
      </c>
      <c r="C12" s="38"/>
    </row>
    <row r="13" spans="2:12" s="2" customFormat="1" ht="12.75" x14ac:dyDescent="0.2">
      <c r="B13" s="2" t="s">
        <v>96</v>
      </c>
      <c r="C13" s="38"/>
      <c r="L13" s="37" t="s">
        <v>218</v>
      </c>
    </row>
    <row r="14" spans="2:12" ht="15" thickBot="1" x14ac:dyDescent="0.25"/>
    <row r="15" spans="2:12" ht="14.45" customHeight="1" x14ac:dyDescent="0.2">
      <c r="B15" s="291" t="s">
        <v>45</v>
      </c>
      <c r="C15" s="292"/>
      <c r="D15" s="296" t="s">
        <v>34</v>
      </c>
      <c r="E15" s="296" t="s">
        <v>35</v>
      </c>
      <c r="F15" s="296" t="s">
        <v>36</v>
      </c>
      <c r="G15" s="296" t="s">
        <v>37</v>
      </c>
      <c r="H15" s="296" t="s">
        <v>38</v>
      </c>
      <c r="I15" s="296" t="s">
        <v>39</v>
      </c>
      <c r="J15" s="296" t="s">
        <v>40</v>
      </c>
      <c r="K15" s="296" t="s">
        <v>41</v>
      </c>
      <c r="L15" s="298" t="s">
        <v>8</v>
      </c>
    </row>
    <row r="16" spans="2:12" ht="15" thickBot="1" x14ac:dyDescent="0.25">
      <c r="B16" s="293"/>
      <c r="C16" s="294"/>
      <c r="D16" s="297"/>
      <c r="E16" s="297"/>
      <c r="F16" s="297"/>
      <c r="G16" s="297"/>
      <c r="H16" s="297"/>
      <c r="I16" s="297"/>
      <c r="J16" s="297"/>
      <c r="K16" s="297"/>
      <c r="L16" s="299"/>
    </row>
    <row r="17" spans="2:12" ht="16.149999999999999" customHeight="1" x14ac:dyDescent="0.2">
      <c r="B17" s="287" t="s">
        <v>9</v>
      </c>
      <c r="C17" s="289" t="str">
        <f>Planilha_Orçamentaria_183!F16</f>
        <v>SERVIÇOS PRELIMINARES</v>
      </c>
      <c r="D17" s="42">
        <v>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4">
        <f>SUM(D17:K17)</f>
        <v>1</v>
      </c>
    </row>
    <row r="18" spans="2:12" ht="16.149999999999999" customHeight="1" thickBot="1" x14ac:dyDescent="0.25">
      <c r="B18" s="288"/>
      <c r="C18" s="290"/>
      <c r="D18" s="45">
        <f t="shared" ref="D18:K18" si="0">D17*$L18</f>
        <v>76197.638399999996</v>
      </c>
      <c r="E18" s="45">
        <f t="shared" si="0"/>
        <v>0</v>
      </c>
      <c r="F18" s="45">
        <f t="shared" si="0"/>
        <v>0</v>
      </c>
      <c r="G18" s="45">
        <f t="shared" si="0"/>
        <v>0</v>
      </c>
      <c r="H18" s="45">
        <f t="shared" si="0"/>
        <v>0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46">
        <f>Planilha_Orçamentaria_183!K16</f>
        <v>76197.638399999996</v>
      </c>
    </row>
    <row r="19" spans="2:12" ht="16.149999999999999" customHeight="1" x14ac:dyDescent="0.2">
      <c r="B19" s="287" t="s">
        <v>15</v>
      </c>
      <c r="C19" s="289" t="str">
        <f>Planilha_Orçamentaria_183!F21</f>
        <v>PASSEIO</v>
      </c>
      <c r="D19" s="43">
        <v>0</v>
      </c>
      <c r="E19" s="43">
        <v>0.2</v>
      </c>
      <c r="F19" s="43">
        <v>0.4</v>
      </c>
      <c r="G19" s="43">
        <v>0.4</v>
      </c>
      <c r="H19" s="43">
        <v>0</v>
      </c>
      <c r="I19" s="43">
        <v>0</v>
      </c>
      <c r="J19" s="43">
        <v>0</v>
      </c>
      <c r="K19" s="43">
        <v>0</v>
      </c>
      <c r="L19" s="44">
        <f>SUM(D19:K19)</f>
        <v>1</v>
      </c>
    </row>
    <row r="20" spans="2:12" ht="16.149999999999999" customHeight="1" thickBot="1" x14ac:dyDescent="0.25">
      <c r="B20" s="288"/>
      <c r="C20" s="290"/>
      <c r="D20" s="45">
        <f t="shared" ref="D20:K20" si="1">D19*$L20</f>
        <v>0</v>
      </c>
      <c r="E20" s="45">
        <f t="shared" si="1"/>
        <v>43304.253720000008</v>
      </c>
      <c r="F20" s="45">
        <f t="shared" si="1"/>
        <v>86608.507440000016</v>
      </c>
      <c r="G20" s="45">
        <f t="shared" si="1"/>
        <v>86608.507440000016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6">
        <f>Planilha_Orçamentaria_183!K21</f>
        <v>216521.26860000001</v>
      </c>
    </row>
    <row r="21" spans="2:12" ht="16.149999999999999" customHeight="1" x14ac:dyDescent="0.2">
      <c r="B21" s="287" t="s">
        <v>19</v>
      </c>
      <c r="C21" s="289" t="str">
        <f>Planilha_Orçamentaria_183!F30</f>
        <v>PINTURA</v>
      </c>
      <c r="D21" s="42">
        <v>0</v>
      </c>
      <c r="E21" s="43">
        <v>0</v>
      </c>
      <c r="F21" s="43">
        <v>0</v>
      </c>
      <c r="G21" s="43">
        <v>0</v>
      </c>
      <c r="H21" s="43">
        <v>0.5</v>
      </c>
      <c r="I21" s="43">
        <v>0.5</v>
      </c>
      <c r="J21" s="43">
        <v>0</v>
      </c>
      <c r="K21" s="43">
        <v>0</v>
      </c>
      <c r="L21" s="44">
        <f>SUM(D21:K21)</f>
        <v>1</v>
      </c>
    </row>
    <row r="22" spans="2:12" ht="16.149999999999999" customHeight="1" thickBot="1" x14ac:dyDescent="0.25">
      <c r="B22" s="288"/>
      <c r="C22" s="290"/>
      <c r="D22" s="45">
        <f t="shared" ref="D22:K22" si="2">D21*$L22</f>
        <v>0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5">
        <f t="shared" si="2"/>
        <v>5039.322079999999</v>
      </c>
      <c r="I22" s="45">
        <f t="shared" si="2"/>
        <v>5039.322079999999</v>
      </c>
      <c r="J22" s="45">
        <f t="shared" si="2"/>
        <v>0</v>
      </c>
      <c r="K22" s="45">
        <f t="shared" si="2"/>
        <v>0</v>
      </c>
      <c r="L22" s="46">
        <f>Planilha_Orçamentaria_183!K30</f>
        <v>10078.644159999998</v>
      </c>
    </row>
    <row r="23" spans="2:12" ht="16.149999999999999" customHeight="1" x14ac:dyDescent="0.2">
      <c r="B23" s="287" t="s">
        <v>154</v>
      </c>
      <c r="C23" s="289" t="str">
        <f>Planilha_Orçamentaria_183!F33</f>
        <v>PAISAGISMO</v>
      </c>
      <c r="D23" s="42">
        <v>0</v>
      </c>
      <c r="E23" s="43">
        <v>0</v>
      </c>
      <c r="F23" s="43">
        <v>0</v>
      </c>
      <c r="G23" s="43">
        <v>0</v>
      </c>
      <c r="H23" s="43">
        <v>0.5</v>
      </c>
      <c r="I23" s="43">
        <v>0.5</v>
      </c>
      <c r="J23" s="43">
        <v>0</v>
      </c>
      <c r="K23" s="43">
        <v>0</v>
      </c>
      <c r="L23" s="44">
        <f>SUM(D23:K23)</f>
        <v>1</v>
      </c>
    </row>
    <row r="24" spans="2:12" ht="16.149999999999999" customHeight="1" thickBot="1" x14ac:dyDescent="0.25">
      <c r="B24" s="288"/>
      <c r="C24" s="290"/>
      <c r="D24" s="45">
        <f t="shared" ref="D24:K24" si="3">D23*$L24</f>
        <v>0</v>
      </c>
      <c r="E24" s="45">
        <f t="shared" si="3"/>
        <v>0</v>
      </c>
      <c r="F24" s="45">
        <f t="shared" si="3"/>
        <v>0</v>
      </c>
      <c r="G24" s="45">
        <f t="shared" si="3"/>
        <v>0</v>
      </c>
      <c r="H24" s="45">
        <f t="shared" si="3"/>
        <v>6035.6034600000003</v>
      </c>
      <c r="I24" s="45">
        <f t="shared" si="3"/>
        <v>6035.6034600000003</v>
      </c>
      <c r="J24" s="45">
        <f t="shared" si="3"/>
        <v>0</v>
      </c>
      <c r="K24" s="45">
        <f t="shared" si="3"/>
        <v>0</v>
      </c>
      <c r="L24" s="46">
        <f>Planilha_Orçamentaria_183!K33</f>
        <v>12071.206920000001</v>
      </c>
    </row>
    <row r="25" spans="2:12" ht="16.149999999999999" customHeight="1" thickBot="1" x14ac:dyDescent="0.25">
      <c r="B25" s="302" t="s">
        <v>8</v>
      </c>
      <c r="C25" s="303"/>
      <c r="D25" s="47">
        <f>D18+D20+D22+D24</f>
        <v>76197.638399999996</v>
      </c>
      <c r="E25" s="47">
        <f t="shared" ref="E25:K25" si="4">E18+E20+E22+E24</f>
        <v>43304.253720000008</v>
      </c>
      <c r="F25" s="47">
        <f t="shared" si="4"/>
        <v>86608.507440000016</v>
      </c>
      <c r="G25" s="47">
        <f t="shared" si="4"/>
        <v>86608.507440000016</v>
      </c>
      <c r="H25" s="47">
        <f t="shared" si="4"/>
        <v>11074.92554</v>
      </c>
      <c r="I25" s="47">
        <f t="shared" si="4"/>
        <v>11074.92554</v>
      </c>
      <c r="J25" s="47">
        <f t="shared" si="4"/>
        <v>0</v>
      </c>
      <c r="K25" s="47">
        <f t="shared" si="4"/>
        <v>0</v>
      </c>
      <c r="L25" s="48">
        <f>L18+L20+L22+L24</f>
        <v>314868.75808000006</v>
      </c>
    </row>
    <row r="32" spans="2:12" x14ac:dyDescent="0.2">
      <c r="G32" s="300" t="s">
        <v>33</v>
      </c>
      <c r="H32" s="300"/>
      <c r="I32" s="300"/>
    </row>
    <row r="33" spans="7:9" x14ac:dyDescent="0.2">
      <c r="G33" s="301" t="s">
        <v>31</v>
      </c>
      <c r="H33" s="301"/>
      <c r="I33" s="301"/>
    </row>
    <row r="34" spans="7:9" x14ac:dyDescent="0.2">
      <c r="G34" s="301" t="s">
        <v>32</v>
      </c>
      <c r="H34" s="301"/>
      <c r="I34" s="301"/>
    </row>
  </sheetData>
  <mergeCells count="23">
    <mergeCell ref="B23:B24"/>
    <mergeCell ref="C23:C24"/>
    <mergeCell ref="G32:I32"/>
    <mergeCell ref="G33:I33"/>
    <mergeCell ref="G34:I34"/>
    <mergeCell ref="B25:C25"/>
    <mergeCell ref="B9:L9"/>
    <mergeCell ref="G15:G16"/>
    <mergeCell ref="H15:H16"/>
    <mergeCell ref="I15:I16"/>
    <mergeCell ref="J15:J16"/>
    <mergeCell ref="K15:K16"/>
    <mergeCell ref="L15:L16"/>
    <mergeCell ref="D15:D16"/>
    <mergeCell ref="E15:E16"/>
    <mergeCell ref="F15:F16"/>
    <mergeCell ref="B19:B20"/>
    <mergeCell ref="C19:C20"/>
    <mergeCell ref="B21:B22"/>
    <mergeCell ref="C21:C22"/>
    <mergeCell ref="B15:C16"/>
    <mergeCell ref="C17:C18"/>
    <mergeCell ref="B17:B18"/>
  </mergeCells>
  <phoneticPr fontId="7" type="noConversion"/>
  <printOptions horizontalCentered="1"/>
  <pageMargins left="0.98425196850393704" right="0.98425196850393704" top="1.7716535433070868" bottom="0.98425196850393704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1DF3-77EB-4949-9217-D0B60877EC1B}">
  <dimension ref="A1:N41"/>
  <sheetViews>
    <sheetView topLeftCell="A20" zoomScaleNormal="100" workbookViewId="0">
      <selection activeCell="G8" sqref="G8"/>
    </sheetView>
  </sheetViews>
  <sheetFormatPr defaultColWidth="8.85546875" defaultRowHeight="14.25" x14ac:dyDescent="0.2"/>
  <cols>
    <col min="1" max="1" width="8.85546875" style="40"/>
    <col min="2" max="2" width="11.7109375" style="40" customWidth="1"/>
    <col min="3" max="3" width="9.7109375" style="40" customWidth="1"/>
    <col min="4" max="4" width="3.7109375" style="40" customWidth="1"/>
    <col min="5" max="5" width="8.85546875" style="40"/>
    <col min="6" max="7" width="12.140625" style="40" customWidth="1"/>
    <col min="8" max="8" width="8.85546875" style="40"/>
    <col min="9" max="9" width="13.5703125" style="40" customWidth="1"/>
    <col min="10" max="10" width="8.85546875" style="40"/>
    <col min="11" max="11" width="22.28515625" style="40" customWidth="1"/>
    <col min="12" max="12" width="8.85546875" style="40"/>
    <col min="13" max="13" width="13.85546875" style="40" bestFit="1" customWidth="1"/>
    <col min="14" max="14" width="12.7109375" style="40" bestFit="1" customWidth="1"/>
    <col min="15" max="16384" width="8.85546875" style="40"/>
  </cols>
  <sheetData>
    <row r="1" spans="1:11" ht="18" x14ac:dyDescent="0.2">
      <c r="A1" s="309"/>
      <c r="B1" s="310"/>
      <c r="C1" s="315" t="s">
        <v>47</v>
      </c>
      <c r="D1" s="315"/>
      <c r="E1" s="315"/>
      <c r="F1" s="315"/>
      <c r="G1" s="315"/>
      <c r="H1" s="315"/>
      <c r="I1" s="315"/>
      <c r="J1" s="315"/>
      <c r="K1" s="315"/>
    </row>
    <row r="2" spans="1:11" ht="15" x14ac:dyDescent="0.2">
      <c r="A2" s="311"/>
      <c r="B2" s="312"/>
      <c r="C2" s="55"/>
      <c r="D2" s="56"/>
      <c r="E2" s="56"/>
      <c r="F2" s="55"/>
      <c r="G2" s="55"/>
      <c r="H2" s="54"/>
      <c r="I2" s="54"/>
      <c r="J2" s="54"/>
      <c r="K2" s="54"/>
    </row>
    <row r="3" spans="1:11" ht="3" customHeight="1" x14ac:dyDescent="0.2">
      <c r="A3" s="311"/>
      <c r="B3" s="312"/>
      <c r="C3" s="54"/>
      <c r="D3" s="54"/>
      <c r="E3" s="54"/>
      <c r="F3" s="57"/>
      <c r="G3" s="57"/>
      <c r="H3" s="54"/>
      <c r="I3" s="54"/>
      <c r="J3" s="54"/>
      <c r="K3" s="54"/>
    </row>
    <row r="4" spans="1:11" ht="4.9000000000000004" hidden="1" customHeight="1" x14ac:dyDescent="0.2">
      <c r="A4" s="313"/>
      <c r="B4" s="314"/>
      <c r="C4" s="54"/>
      <c r="D4" s="54"/>
      <c r="E4" s="54"/>
      <c r="F4" s="57"/>
      <c r="G4" s="57"/>
      <c r="H4" s="54"/>
      <c r="I4" s="54"/>
      <c r="J4" s="54"/>
      <c r="K4" s="54"/>
    </row>
    <row r="5" spans="1:11" ht="7.15" customHeight="1" x14ac:dyDescent="0.2">
      <c r="A5" s="54"/>
      <c r="B5" s="54"/>
      <c r="C5" s="54"/>
      <c r="D5" s="54"/>
      <c r="E5" s="54"/>
      <c r="F5" s="54"/>
      <c r="G5" s="54"/>
      <c r="H5" s="54"/>
      <c r="I5" s="316"/>
      <c r="J5" s="316"/>
      <c r="K5" s="316"/>
    </row>
    <row r="6" spans="1:11" ht="30" customHeight="1" x14ac:dyDescent="0.2">
      <c r="A6" s="54"/>
      <c r="B6" s="58" t="s">
        <v>48</v>
      </c>
      <c r="C6" s="317" t="s">
        <v>64</v>
      </c>
      <c r="D6" s="317"/>
      <c r="E6" s="317"/>
      <c r="F6" s="317"/>
      <c r="G6" s="54"/>
      <c r="H6" s="54"/>
      <c r="I6" s="59" t="s">
        <v>49</v>
      </c>
      <c r="J6" s="60"/>
      <c r="K6" s="61" t="s">
        <v>50</v>
      </c>
    </row>
    <row r="7" spans="1:11" ht="30" customHeight="1" x14ac:dyDescent="0.2">
      <c r="A7" s="54"/>
      <c r="B7" s="58" t="s">
        <v>51</v>
      </c>
      <c r="C7" s="318" t="s">
        <v>65</v>
      </c>
      <c r="D7" s="318"/>
      <c r="E7" s="318"/>
      <c r="F7" s="318"/>
      <c r="G7" s="54"/>
      <c r="H7" s="54"/>
      <c r="I7" s="73" t="s">
        <v>97</v>
      </c>
      <c r="J7" s="62"/>
      <c r="K7" s="74">
        <v>44470</v>
      </c>
    </row>
    <row r="8" spans="1:11" ht="30" customHeight="1" x14ac:dyDescent="0.2">
      <c r="A8" s="54"/>
      <c r="B8" s="58" t="s">
        <v>52</v>
      </c>
      <c r="C8" s="304"/>
      <c r="D8" s="304"/>
      <c r="E8" s="304"/>
      <c r="F8" s="304"/>
      <c r="G8" s="54"/>
      <c r="H8" s="305" t="s">
        <v>53</v>
      </c>
      <c r="I8" s="306" t="s">
        <v>66</v>
      </c>
      <c r="J8" s="307"/>
      <c r="K8" s="308"/>
    </row>
    <row r="9" spans="1:11" ht="30" customHeight="1" x14ac:dyDescent="0.2">
      <c r="A9" s="54"/>
      <c r="B9" s="58" t="s">
        <v>54</v>
      </c>
      <c r="C9" s="304"/>
      <c r="D9" s="304"/>
      <c r="E9" s="304"/>
      <c r="F9" s="304"/>
      <c r="G9" s="54"/>
      <c r="H9" s="305"/>
      <c r="I9" s="306" t="s">
        <v>74</v>
      </c>
      <c r="J9" s="307"/>
      <c r="K9" s="308"/>
    </row>
    <row r="10" spans="1:11" x14ac:dyDescent="0.2">
      <c r="A10" s="54"/>
      <c r="B10" s="63"/>
      <c r="C10" s="63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333" t="s">
        <v>2</v>
      </c>
      <c r="B11" s="335" t="s">
        <v>42</v>
      </c>
      <c r="C11" s="336"/>
      <c r="D11" s="333" t="s">
        <v>55</v>
      </c>
      <c r="E11" s="64" t="s">
        <v>56</v>
      </c>
      <c r="F11" s="64"/>
      <c r="G11" s="341" t="s">
        <v>57</v>
      </c>
      <c r="H11" s="342"/>
      <c r="I11" s="64" t="s">
        <v>58</v>
      </c>
      <c r="J11" s="65"/>
      <c r="K11" s="323" t="s">
        <v>8</v>
      </c>
    </row>
    <row r="12" spans="1:11" ht="5.45" customHeight="1" x14ac:dyDescent="0.2">
      <c r="A12" s="334"/>
      <c r="B12" s="337"/>
      <c r="C12" s="338"/>
      <c r="D12" s="334"/>
      <c r="E12" s="66"/>
      <c r="F12" s="67"/>
      <c r="G12" s="66"/>
      <c r="H12" s="67"/>
      <c r="I12" s="66"/>
      <c r="J12" s="67"/>
      <c r="K12" s="324"/>
    </row>
    <row r="13" spans="1:11" ht="13.9" customHeight="1" x14ac:dyDescent="0.2">
      <c r="A13" s="334"/>
      <c r="B13" s="337"/>
      <c r="C13" s="338"/>
      <c r="D13" s="334"/>
      <c r="E13" s="325" t="s">
        <v>68</v>
      </c>
      <c r="F13" s="326"/>
      <c r="G13" s="325" t="s">
        <v>71</v>
      </c>
      <c r="H13" s="326"/>
      <c r="I13" s="325" t="s">
        <v>70</v>
      </c>
      <c r="J13" s="326"/>
      <c r="K13" s="324"/>
    </row>
    <row r="14" spans="1:11" ht="7.9" customHeight="1" x14ac:dyDescent="0.2">
      <c r="A14" s="334"/>
      <c r="B14" s="337"/>
      <c r="C14" s="338"/>
      <c r="D14" s="334"/>
      <c r="E14" s="327"/>
      <c r="F14" s="328"/>
      <c r="G14" s="327"/>
      <c r="H14" s="328"/>
      <c r="I14" s="327"/>
      <c r="J14" s="328"/>
      <c r="K14" s="324"/>
    </row>
    <row r="15" spans="1:11" ht="76.900000000000006" customHeight="1" x14ac:dyDescent="0.2">
      <c r="A15" s="334"/>
      <c r="B15" s="339"/>
      <c r="C15" s="340"/>
      <c r="D15" s="334"/>
      <c r="E15" s="329" t="s">
        <v>73</v>
      </c>
      <c r="F15" s="330"/>
      <c r="G15" s="331" t="s">
        <v>69</v>
      </c>
      <c r="H15" s="332"/>
      <c r="I15" s="331" t="s">
        <v>72</v>
      </c>
      <c r="J15" s="332"/>
      <c r="K15" s="324"/>
    </row>
    <row r="16" spans="1:11" ht="30" customHeight="1" x14ac:dyDescent="0.2">
      <c r="A16" s="343">
        <v>1</v>
      </c>
      <c r="B16" s="345" t="str">
        <f>Planilha_Orçamentaria_183!F16</f>
        <v>SERVIÇOS PRELIMINARES</v>
      </c>
      <c r="C16" s="346"/>
      <c r="D16" s="52" t="s">
        <v>43</v>
      </c>
      <c r="E16" s="319">
        <v>1</v>
      </c>
      <c r="F16" s="320"/>
      <c r="G16" s="319">
        <v>0</v>
      </c>
      <c r="H16" s="320"/>
      <c r="I16" s="319">
        <v>0</v>
      </c>
      <c r="J16" s="320"/>
      <c r="K16" s="77">
        <f>SUM(E16:J16)</f>
        <v>1</v>
      </c>
    </row>
    <row r="17" spans="1:14" ht="30" customHeight="1" x14ac:dyDescent="0.2">
      <c r="A17" s="344"/>
      <c r="B17" s="347"/>
      <c r="C17" s="348"/>
      <c r="D17" s="53" t="s">
        <v>59</v>
      </c>
      <c r="E17" s="321">
        <f>E16*$K17</f>
        <v>76197.638399999996</v>
      </c>
      <c r="F17" s="322"/>
      <c r="G17" s="321">
        <f t="shared" ref="G17" si="0">G16*$K17</f>
        <v>0</v>
      </c>
      <c r="H17" s="322"/>
      <c r="I17" s="321">
        <f t="shared" ref="I17" si="1">I16*$K17</f>
        <v>0</v>
      </c>
      <c r="J17" s="322"/>
      <c r="K17" s="78">
        <f>'Cronograma fisico financeiro'!L18</f>
        <v>76197.638399999996</v>
      </c>
    </row>
    <row r="18" spans="1:14" ht="30" customHeight="1" x14ac:dyDescent="0.2">
      <c r="A18" s="343">
        <v>2</v>
      </c>
      <c r="B18" s="345" t="str">
        <f>Planilha_Orçamentaria_183!F21</f>
        <v>PASSEIO</v>
      </c>
      <c r="C18" s="346"/>
      <c r="D18" s="52" t="s">
        <v>43</v>
      </c>
      <c r="E18" s="349">
        <v>1</v>
      </c>
      <c r="F18" s="350"/>
      <c r="G18" s="349">
        <v>0</v>
      </c>
      <c r="H18" s="350"/>
      <c r="I18" s="349">
        <v>0</v>
      </c>
      <c r="J18" s="350"/>
      <c r="K18" s="77">
        <f>SUM(E18:J18)</f>
        <v>1</v>
      </c>
    </row>
    <row r="19" spans="1:14" ht="30" customHeight="1" x14ac:dyDescent="0.2">
      <c r="A19" s="344"/>
      <c r="B19" s="347"/>
      <c r="C19" s="348"/>
      <c r="D19" s="53" t="s">
        <v>59</v>
      </c>
      <c r="E19" s="321">
        <f t="shared" ref="E19" si="2">E18*$K19</f>
        <v>216521.26860000001</v>
      </c>
      <c r="F19" s="322"/>
      <c r="G19" s="321">
        <f t="shared" ref="G19" si="3">G18*$K19</f>
        <v>0</v>
      </c>
      <c r="H19" s="322"/>
      <c r="I19" s="321">
        <f t="shared" ref="I19" si="4">I18*$K19</f>
        <v>0</v>
      </c>
      <c r="J19" s="322"/>
      <c r="K19" s="78">
        <f>'Cronograma fisico financeiro'!L20</f>
        <v>216521.26860000001</v>
      </c>
    </row>
    <row r="20" spans="1:14" ht="30" customHeight="1" x14ac:dyDescent="0.2">
      <c r="A20" s="343">
        <v>3</v>
      </c>
      <c r="B20" s="345" t="str">
        <f>Planilha_Orçamentaria_183!F30</f>
        <v>PINTURA</v>
      </c>
      <c r="C20" s="346"/>
      <c r="D20" s="52" t="s">
        <v>43</v>
      </c>
      <c r="E20" s="349">
        <v>0.6</v>
      </c>
      <c r="F20" s="350"/>
      <c r="G20" s="349">
        <v>0.4</v>
      </c>
      <c r="H20" s="350"/>
      <c r="I20" s="349">
        <v>0</v>
      </c>
      <c r="J20" s="350"/>
      <c r="K20" s="77">
        <f>SUM(E20:J20)</f>
        <v>1</v>
      </c>
    </row>
    <row r="21" spans="1:14" ht="30" customHeight="1" x14ac:dyDescent="0.2">
      <c r="A21" s="344"/>
      <c r="B21" s="347"/>
      <c r="C21" s="348"/>
      <c r="D21" s="53" t="s">
        <v>59</v>
      </c>
      <c r="E21" s="321">
        <f t="shared" ref="E21" si="5">E20*$K21</f>
        <v>6047.1864959999984</v>
      </c>
      <c r="F21" s="322"/>
      <c r="G21" s="321">
        <f t="shared" ref="G21" si="6">G20*$K21</f>
        <v>4031.4576639999996</v>
      </c>
      <c r="H21" s="322"/>
      <c r="I21" s="321">
        <f t="shared" ref="I21" si="7">I20*$K21</f>
        <v>0</v>
      </c>
      <c r="J21" s="322"/>
      <c r="K21" s="78">
        <f>'Cronograma fisico financeiro'!L22</f>
        <v>10078.644159999998</v>
      </c>
    </row>
    <row r="22" spans="1:14" x14ac:dyDescent="0.2">
      <c r="A22" s="54"/>
      <c r="B22" s="54"/>
      <c r="C22" s="54"/>
      <c r="D22" s="54"/>
      <c r="E22" s="64" t="s">
        <v>56</v>
      </c>
      <c r="F22" s="64"/>
      <c r="G22" s="341" t="s">
        <v>57</v>
      </c>
      <c r="H22" s="342"/>
      <c r="I22" s="64" t="s">
        <v>58</v>
      </c>
      <c r="J22" s="65"/>
      <c r="K22" s="68"/>
    </row>
    <row r="23" spans="1:14" ht="30" customHeight="1" x14ac:dyDescent="0.2">
      <c r="A23" s="54"/>
      <c r="B23" s="341" t="s">
        <v>60</v>
      </c>
      <c r="C23" s="351"/>
      <c r="D23" s="342"/>
      <c r="E23" s="352">
        <v>300000</v>
      </c>
      <c r="F23" s="353"/>
      <c r="G23" s="352">
        <v>61108.44</v>
      </c>
      <c r="H23" s="353"/>
      <c r="I23" s="352">
        <v>0</v>
      </c>
      <c r="J23" s="353"/>
      <c r="K23" s="76">
        <f>SUM(E23:J23)</f>
        <v>361108.44</v>
      </c>
    </row>
    <row r="24" spans="1:14" ht="30" customHeight="1" x14ac:dyDescent="0.2">
      <c r="A24" s="54"/>
      <c r="B24" s="341" t="s">
        <v>61</v>
      </c>
      <c r="C24" s="351"/>
      <c r="D24" s="342"/>
      <c r="E24" s="352">
        <v>29128.63</v>
      </c>
      <c r="F24" s="353"/>
      <c r="G24" s="352">
        <v>9230.2910080000001</v>
      </c>
      <c r="H24" s="353"/>
      <c r="I24" s="352">
        <v>0</v>
      </c>
      <c r="J24" s="353"/>
      <c r="K24" s="76">
        <f t="shared" ref="K24:K26" si="8">SUM(E24:J24)</f>
        <v>38358.921008000005</v>
      </c>
      <c r="N24" s="107"/>
    </row>
    <row r="25" spans="1:14" ht="30" customHeight="1" x14ac:dyDescent="0.2">
      <c r="A25" s="54"/>
      <c r="B25" s="341" t="s">
        <v>62</v>
      </c>
      <c r="C25" s="351"/>
      <c r="D25" s="342"/>
      <c r="E25" s="352">
        <f>E23+E24</f>
        <v>329128.63</v>
      </c>
      <c r="F25" s="353"/>
      <c r="G25" s="352">
        <f t="shared" ref="G25" si="9">G23+G24</f>
        <v>70338.731008000002</v>
      </c>
      <c r="H25" s="353"/>
      <c r="I25" s="352">
        <v>0</v>
      </c>
      <c r="J25" s="353"/>
      <c r="K25" s="76">
        <f t="shared" si="8"/>
        <v>399467.36100799998</v>
      </c>
      <c r="M25" s="107"/>
      <c r="N25" s="107"/>
    </row>
    <row r="26" spans="1:14" ht="30" customHeight="1" x14ac:dyDescent="0.2">
      <c r="A26" s="54"/>
      <c r="B26" s="354" t="s">
        <v>63</v>
      </c>
      <c r="C26" s="355"/>
      <c r="D26" s="356"/>
      <c r="E26" s="357">
        <f>E25/$K$25</f>
        <v>0.82391870306873127</v>
      </c>
      <c r="F26" s="358"/>
      <c r="G26" s="357">
        <f t="shared" ref="G26" si="10">G25/$K$25</f>
        <v>0.17608129693126884</v>
      </c>
      <c r="H26" s="358"/>
      <c r="I26" s="357">
        <f t="shared" ref="I26" si="11">I25/$K$25</f>
        <v>0</v>
      </c>
      <c r="J26" s="358"/>
      <c r="K26" s="75">
        <f t="shared" si="8"/>
        <v>1</v>
      </c>
      <c r="M26" s="108"/>
      <c r="N26" s="108"/>
    </row>
    <row r="27" spans="1:14" ht="15" thickBot="1" x14ac:dyDescent="0.25">
      <c r="A27" s="54"/>
      <c r="B27" s="54"/>
      <c r="C27" s="69"/>
      <c r="D27" s="69"/>
      <c r="E27" s="70"/>
      <c r="F27" s="70"/>
      <c r="G27" s="70"/>
      <c r="H27" s="70"/>
      <c r="I27" s="70"/>
      <c r="J27" s="70"/>
      <c r="K27" s="70"/>
    </row>
    <row r="28" spans="1:14" x14ac:dyDescent="0.2">
      <c r="A28" s="54"/>
      <c r="B28" s="54"/>
      <c r="C28" s="359" t="s">
        <v>67</v>
      </c>
      <c r="D28" s="360"/>
      <c r="E28" s="360"/>
      <c r="F28" s="360"/>
      <c r="G28" s="360"/>
      <c r="H28" s="360"/>
      <c r="I28" s="360"/>
      <c r="J28" s="360"/>
      <c r="K28" s="361"/>
    </row>
    <row r="29" spans="1:14" x14ac:dyDescent="0.2">
      <c r="A29" s="71"/>
      <c r="B29" s="71"/>
      <c r="C29" s="362"/>
      <c r="D29" s="363"/>
      <c r="E29" s="363"/>
      <c r="F29" s="363"/>
      <c r="G29" s="363"/>
      <c r="H29" s="363"/>
      <c r="I29" s="363"/>
      <c r="J29" s="363"/>
      <c r="K29" s="364"/>
    </row>
    <row r="30" spans="1:14" x14ac:dyDescent="0.2">
      <c r="A30" s="72"/>
      <c r="B30" s="72"/>
      <c r="C30" s="362"/>
      <c r="D30" s="363"/>
      <c r="E30" s="363"/>
      <c r="F30" s="363"/>
      <c r="G30" s="363"/>
      <c r="H30" s="363"/>
      <c r="I30" s="363"/>
      <c r="J30" s="363"/>
      <c r="K30" s="364"/>
    </row>
    <row r="31" spans="1:14" x14ac:dyDescent="0.2">
      <c r="A31" s="72"/>
      <c r="B31" s="72"/>
      <c r="C31" s="362"/>
      <c r="D31" s="363"/>
      <c r="E31" s="363"/>
      <c r="F31" s="363"/>
      <c r="G31" s="363"/>
      <c r="H31" s="363"/>
      <c r="I31" s="363"/>
      <c r="J31" s="363"/>
      <c r="K31" s="364"/>
    </row>
    <row r="32" spans="1:14" x14ac:dyDescent="0.2">
      <c r="A32" s="72"/>
      <c r="B32" s="72"/>
      <c r="C32" s="362"/>
      <c r="D32" s="363"/>
      <c r="E32" s="363"/>
      <c r="F32" s="363"/>
      <c r="G32" s="363"/>
      <c r="H32" s="363"/>
      <c r="I32" s="363"/>
      <c r="J32" s="363"/>
      <c r="K32" s="364"/>
    </row>
    <row r="33" spans="1:11" ht="97.9" customHeight="1" thickBot="1" x14ac:dyDescent="0.25">
      <c r="A33" s="72"/>
      <c r="B33" s="72"/>
      <c r="C33" s="365"/>
      <c r="D33" s="366"/>
      <c r="E33" s="366"/>
      <c r="F33" s="366"/>
      <c r="G33" s="366"/>
      <c r="H33" s="366"/>
      <c r="I33" s="366"/>
      <c r="J33" s="366"/>
      <c r="K33" s="367"/>
    </row>
    <row r="35" spans="1:11" x14ac:dyDescent="0.2">
      <c r="F35" s="110"/>
      <c r="G35" s="110"/>
    </row>
    <row r="39" spans="1:11" ht="14.45" customHeight="1" x14ac:dyDescent="0.2">
      <c r="J39" s="300" t="s">
        <v>33</v>
      </c>
      <c r="K39" s="300"/>
    </row>
    <row r="40" spans="1:11" ht="14.45" customHeight="1" x14ac:dyDescent="0.2">
      <c r="J40" s="301" t="s">
        <v>31</v>
      </c>
      <c r="K40" s="301"/>
    </row>
    <row r="41" spans="1:11" ht="14.45" customHeight="1" x14ac:dyDescent="0.2">
      <c r="J41" s="301" t="s">
        <v>32</v>
      </c>
      <c r="K41" s="301"/>
    </row>
  </sheetData>
  <mergeCells count="69">
    <mergeCell ref="J41:K41"/>
    <mergeCell ref="J39:K39"/>
    <mergeCell ref="J40:K40"/>
    <mergeCell ref="B26:D26"/>
    <mergeCell ref="E26:F26"/>
    <mergeCell ref="G26:H26"/>
    <mergeCell ref="I26:J26"/>
    <mergeCell ref="C28:K33"/>
    <mergeCell ref="B24:D24"/>
    <mergeCell ref="E24:F24"/>
    <mergeCell ref="G24:H24"/>
    <mergeCell ref="I24:J24"/>
    <mergeCell ref="B25:D25"/>
    <mergeCell ref="E25:F25"/>
    <mergeCell ref="G25:H25"/>
    <mergeCell ref="I25:J25"/>
    <mergeCell ref="G22:H22"/>
    <mergeCell ref="B23:D23"/>
    <mergeCell ref="E23:F23"/>
    <mergeCell ref="G23:H23"/>
    <mergeCell ref="I23:J23"/>
    <mergeCell ref="A20:A21"/>
    <mergeCell ref="B20:C21"/>
    <mergeCell ref="E20:F20"/>
    <mergeCell ref="G20:H20"/>
    <mergeCell ref="I20:J20"/>
    <mergeCell ref="E21:F21"/>
    <mergeCell ref="G21:H21"/>
    <mergeCell ref="I21:J21"/>
    <mergeCell ref="A18:A19"/>
    <mergeCell ref="B18:C19"/>
    <mergeCell ref="E18:F18"/>
    <mergeCell ref="G18:H18"/>
    <mergeCell ref="I18:J18"/>
    <mergeCell ref="E19:F19"/>
    <mergeCell ref="G19:H19"/>
    <mergeCell ref="I19:J19"/>
    <mergeCell ref="A11:A15"/>
    <mergeCell ref="B11:C15"/>
    <mergeCell ref="D11:D15"/>
    <mergeCell ref="G11:H11"/>
    <mergeCell ref="G17:H17"/>
    <mergeCell ref="A16:A17"/>
    <mergeCell ref="B16:C17"/>
    <mergeCell ref="E16:F16"/>
    <mergeCell ref="G16:H16"/>
    <mergeCell ref="I16:J16"/>
    <mergeCell ref="E17:F17"/>
    <mergeCell ref="I17:J17"/>
    <mergeCell ref="K11:K15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A1:B4"/>
    <mergeCell ref="C1:K1"/>
    <mergeCell ref="I5:K5"/>
    <mergeCell ref="C6:F6"/>
    <mergeCell ref="C7:F7"/>
    <mergeCell ref="C8:F8"/>
    <mergeCell ref="H8:H9"/>
    <mergeCell ref="I8:K8"/>
    <mergeCell ref="C9:F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A7C1-CBE7-456D-9F29-46776B4EC786}">
  <sheetPr>
    <pageSetUpPr fitToPage="1"/>
  </sheetPr>
  <dimension ref="A1:N75"/>
  <sheetViews>
    <sheetView showGridLines="0" topLeftCell="A48" zoomScale="70" zoomScaleNormal="70" workbookViewId="0">
      <selection activeCell="C66" sqref="C66:E69"/>
    </sheetView>
  </sheetViews>
  <sheetFormatPr defaultColWidth="9.140625" defaultRowHeight="15" x14ac:dyDescent="0.25"/>
  <cols>
    <col min="1" max="1" width="6.140625" style="82" customWidth="1"/>
    <col min="2" max="2" width="11.42578125" style="82" customWidth="1"/>
    <col min="3" max="3" width="65.7109375" style="82" customWidth="1"/>
    <col min="4" max="4" width="3.7109375" style="82" customWidth="1"/>
    <col min="5" max="5" width="5.7109375" style="82" customWidth="1"/>
    <col min="6" max="6" width="6.7109375" style="82" customWidth="1"/>
    <col min="7" max="7" width="8.7109375" style="82" customWidth="1"/>
    <col min="8" max="8" width="15.7109375" style="82" customWidth="1"/>
    <col min="9" max="9" width="3.7109375" style="82" customWidth="1"/>
    <col min="10" max="10" width="25.7109375" style="82" customWidth="1"/>
    <col min="11" max="11" width="33.5703125" style="82" customWidth="1"/>
    <col min="12" max="14" width="8.85546875" style="179" customWidth="1"/>
    <col min="15" max="16384" width="9.140625" style="82"/>
  </cols>
  <sheetData>
    <row r="1" spans="1:14" ht="20.100000000000001" customHeight="1" x14ac:dyDescent="0.25">
      <c r="A1" s="370"/>
      <c r="B1" s="370"/>
      <c r="C1" s="371" t="s">
        <v>47</v>
      </c>
      <c r="D1" s="371"/>
      <c r="E1" s="371"/>
      <c r="F1" s="371"/>
      <c r="G1" s="371"/>
      <c r="H1" s="371"/>
      <c r="I1" s="371"/>
      <c r="J1" s="371"/>
      <c r="K1" s="148"/>
      <c r="L1" s="149"/>
      <c r="M1" s="149"/>
      <c r="N1" s="149"/>
    </row>
    <row r="2" spans="1:14" s="152" customFormat="1" ht="30" customHeight="1" x14ac:dyDescent="0.25">
      <c r="A2" s="370"/>
      <c r="B2" s="370"/>
      <c r="C2" s="371"/>
      <c r="D2" s="371"/>
      <c r="E2" s="371"/>
      <c r="F2" s="371"/>
      <c r="G2" s="371"/>
      <c r="H2" s="371"/>
      <c r="I2" s="371"/>
      <c r="J2" s="371"/>
      <c r="K2" s="150"/>
      <c r="L2" s="151"/>
      <c r="M2" s="151"/>
      <c r="N2" s="151"/>
    </row>
    <row r="3" spans="1:14" ht="20.100000000000001" customHeight="1" x14ac:dyDescent="0.25">
      <c r="A3" s="370"/>
      <c r="B3" s="370"/>
      <c r="C3" s="371"/>
      <c r="D3" s="371"/>
      <c r="E3" s="371"/>
      <c r="F3" s="371"/>
      <c r="G3" s="371"/>
      <c r="H3" s="371"/>
      <c r="I3" s="371"/>
      <c r="J3" s="371"/>
      <c r="K3" s="148"/>
      <c r="L3" s="149"/>
      <c r="M3" s="149"/>
      <c r="N3" s="149"/>
    </row>
    <row r="4" spans="1:14" ht="20.100000000000001" customHeight="1" x14ac:dyDescent="0.25">
      <c r="A4" s="370"/>
      <c r="B4" s="370"/>
      <c r="C4" s="371"/>
      <c r="D4" s="371"/>
      <c r="E4" s="371"/>
      <c r="F4" s="371"/>
      <c r="G4" s="371"/>
      <c r="H4" s="371"/>
      <c r="I4" s="371"/>
      <c r="J4" s="371"/>
      <c r="K4" s="148"/>
      <c r="L4" s="149"/>
      <c r="M4" s="149"/>
      <c r="N4" s="149"/>
    </row>
    <row r="5" spans="1:14" ht="9.9499999999999993" customHeight="1" x14ac:dyDescent="0.25">
      <c r="A5" s="148"/>
      <c r="B5" s="148"/>
      <c r="C5" s="148"/>
      <c r="D5" s="148"/>
      <c r="E5" s="148"/>
      <c r="F5" s="148"/>
      <c r="G5" s="372"/>
      <c r="H5" s="372"/>
      <c r="I5" s="372"/>
      <c r="J5" s="372"/>
      <c r="K5" s="148"/>
      <c r="L5" s="149"/>
      <c r="M5" s="149"/>
      <c r="N5" s="149"/>
    </row>
    <row r="6" spans="1:14" ht="24.95" customHeight="1" x14ac:dyDescent="0.25">
      <c r="A6" s="368" t="s">
        <v>48</v>
      </c>
      <c r="B6" s="368"/>
      <c r="C6" s="153" t="s">
        <v>122</v>
      </c>
      <c r="E6" s="154"/>
      <c r="F6" s="373" t="s">
        <v>49</v>
      </c>
      <c r="G6" s="373"/>
      <c r="H6" s="373"/>
      <c r="I6" s="155"/>
      <c r="J6" s="156" t="s">
        <v>50</v>
      </c>
      <c r="K6" s="157"/>
      <c r="L6" s="149"/>
      <c r="M6" s="149"/>
      <c r="N6" s="149"/>
    </row>
    <row r="7" spans="1:14" ht="30" customHeight="1" x14ac:dyDescent="0.25">
      <c r="A7" s="368" t="s">
        <v>51</v>
      </c>
      <c r="B7" s="368"/>
      <c r="C7" s="158" t="s">
        <v>219</v>
      </c>
      <c r="E7" s="154"/>
      <c r="F7" s="369" t="s">
        <v>136</v>
      </c>
      <c r="G7" s="369"/>
      <c r="H7" s="369"/>
      <c r="I7" s="159"/>
      <c r="J7" s="160">
        <v>44501</v>
      </c>
      <c r="K7" s="161"/>
      <c r="L7" s="149"/>
      <c r="M7" s="149"/>
      <c r="N7" s="149"/>
    </row>
    <row r="8" spans="1:14" ht="24.95" customHeight="1" x14ac:dyDescent="0.25">
      <c r="A8" s="368" t="s">
        <v>52</v>
      </c>
      <c r="B8" s="368"/>
      <c r="C8" s="265" t="s">
        <v>214</v>
      </c>
      <c r="E8" s="374" t="s">
        <v>53</v>
      </c>
      <c r="F8" s="375" t="s">
        <v>123</v>
      </c>
      <c r="G8" s="376"/>
      <c r="H8" s="377" t="s">
        <v>124</v>
      </c>
      <c r="I8" s="378"/>
      <c r="J8" s="379"/>
      <c r="K8" s="154"/>
      <c r="L8" s="149"/>
      <c r="M8" s="149"/>
      <c r="N8" s="149"/>
    </row>
    <row r="9" spans="1:14" ht="24.95" customHeight="1" x14ac:dyDescent="0.25">
      <c r="A9" s="368" t="s">
        <v>54</v>
      </c>
      <c r="B9" s="368"/>
      <c r="C9" s="158"/>
      <c r="E9" s="374"/>
      <c r="F9" s="375" t="s">
        <v>125</v>
      </c>
      <c r="G9" s="376"/>
      <c r="H9" s="380" t="str">
        <f>IF(G13="","Cálculo automático",(CONCATENATE(G13," dias a partir da data de assinatura do convênio")))</f>
        <v>570 dias a partir da data de assinatura do convênio</v>
      </c>
      <c r="I9" s="380"/>
      <c r="J9" s="381"/>
      <c r="K9" s="154"/>
      <c r="L9" s="149"/>
      <c r="M9" s="149"/>
      <c r="N9" s="149"/>
    </row>
    <row r="10" spans="1:14" x14ac:dyDescent="0.25">
      <c r="A10" s="148"/>
      <c r="B10" s="162"/>
      <c r="C10" s="162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149"/>
    </row>
    <row r="11" spans="1:14" x14ac:dyDescent="0.25">
      <c r="A11" s="393" t="s">
        <v>2</v>
      </c>
      <c r="B11" s="395" t="s">
        <v>42</v>
      </c>
      <c r="C11" s="396"/>
      <c r="D11" s="393" t="s">
        <v>55</v>
      </c>
      <c r="E11" s="400" t="s">
        <v>126</v>
      </c>
      <c r="F11" s="400"/>
      <c r="G11" s="400"/>
      <c r="H11" s="400"/>
      <c r="I11" s="401"/>
      <c r="J11" s="382" t="s">
        <v>8</v>
      </c>
      <c r="K11" s="148"/>
      <c r="L11" s="149"/>
      <c r="M11" s="149"/>
      <c r="N11" s="149"/>
    </row>
    <row r="12" spans="1:14" ht="5.45" customHeight="1" x14ac:dyDescent="0.25">
      <c r="A12" s="394"/>
      <c r="B12" s="397"/>
      <c r="C12" s="398"/>
      <c r="D12" s="394"/>
      <c r="E12" s="385"/>
      <c r="F12" s="385"/>
      <c r="G12" s="385"/>
      <c r="H12" s="385"/>
      <c r="I12" s="386"/>
      <c r="J12" s="383"/>
      <c r="K12" s="148"/>
      <c r="L12" s="149"/>
      <c r="M12" s="149"/>
      <c r="N12" s="149"/>
    </row>
    <row r="13" spans="1:14" ht="15" customHeight="1" x14ac:dyDescent="0.25">
      <c r="A13" s="394"/>
      <c r="B13" s="397"/>
      <c r="C13" s="398"/>
      <c r="D13" s="394"/>
      <c r="E13" s="387" t="s">
        <v>127</v>
      </c>
      <c r="F13" s="388"/>
      <c r="G13" s="163">
        <f>IF(H15="XXX","",SUM(H14:H17))</f>
        <v>570</v>
      </c>
      <c r="H13" s="389" t="s">
        <v>128</v>
      </c>
      <c r="I13" s="390"/>
      <c r="J13" s="383"/>
      <c r="K13" s="148"/>
      <c r="L13" s="149"/>
      <c r="M13" s="149"/>
      <c r="N13" s="149"/>
    </row>
    <row r="14" spans="1:14" ht="20.100000000000001" customHeight="1" x14ac:dyDescent="0.25">
      <c r="A14" s="394"/>
      <c r="B14" s="397"/>
      <c r="C14" s="398"/>
      <c r="D14" s="399"/>
      <c r="E14" s="391" t="s">
        <v>129</v>
      </c>
      <c r="F14" s="392"/>
      <c r="G14" s="392"/>
      <c r="H14" s="164">
        <v>180</v>
      </c>
      <c r="I14" s="165"/>
      <c r="J14" s="384"/>
      <c r="K14" s="148"/>
      <c r="L14" s="149"/>
      <c r="M14" s="149"/>
      <c r="N14" s="149"/>
    </row>
    <row r="15" spans="1:14" ht="20.100000000000001" customHeight="1" x14ac:dyDescent="0.25">
      <c r="A15" s="394"/>
      <c r="B15" s="397"/>
      <c r="C15" s="398"/>
      <c r="D15" s="399"/>
      <c r="E15" s="391" t="s">
        <v>130</v>
      </c>
      <c r="F15" s="392"/>
      <c r="G15" s="392"/>
      <c r="H15" s="166">
        <v>180</v>
      </c>
      <c r="I15" s="167"/>
      <c r="J15" s="384"/>
      <c r="K15" s="148"/>
      <c r="L15" s="149"/>
      <c r="M15" s="149"/>
      <c r="N15" s="149"/>
    </row>
    <row r="16" spans="1:14" ht="20.100000000000001" customHeight="1" x14ac:dyDescent="0.25">
      <c r="A16" s="394"/>
      <c r="B16" s="397"/>
      <c r="C16" s="398"/>
      <c r="D16" s="399"/>
      <c r="E16" s="391" t="s">
        <v>131</v>
      </c>
      <c r="F16" s="392"/>
      <c r="G16" s="392"/>
      <c r="H16" s="164">
        <v>30</v>
      </c>
      <c r="I16" s="168"/>
      <c r="J16" s="384"/>
      <c r="K16" s="148"/>
      <c r="L16" s="149"/>
      <c r="M16" s="149"/>
      <c r="N16" s="149"/>
    </row>
    <row r="17" spans="1:14" ht="20.100000000000001" customHeight="1" x14ac:dyDescent="0.25">
      <c r="A17" s="169"/>
      <c r="B17" s="170"/>
      <c r="C17" s="171"/>
      <c r="D17" s="172"/>
      <c r="E17" s="413" t="s">
        <v>132</v>
      </c>
      <c r="F17" s="414"/>
      <c r="G17" s="414"/>
      <c r="H17" s="173">
        <v>180</v>
      </c>
      <c r="I17" s="174"/>
      <c r="J17" s="175"/>
      <c r="K17" s="148"/>
      <c r="L17" s="149"/>
      <c r="M17" s="149"/>
      <c r="N17" s="149"/>
    </row>
    <row r="18" spans="1:14" ht="24.95" customHeight="1" x14ac:dyDescent="0.25">
      <c r="A18" s="402">
        <v>1</v>
      </c>
      <c r="B18" s="404" t="s">
        <v>10</v>
      </c>
      <c r="C18" s="405"/>
      <c r="D18" s="176" t="s">
        <v>43</v>
      </c>
      <c r="E18" s="177"/>
      <c r="F18" s="408">
        <f>IFERROR($E19/J19,0)</f>
        <v>1</v>
      </c>
      <c r="G18" s="408"/>
      <c r="H18" s="408"/>
      <c r="I18" s="409"/>
      <c r="J18" s="178">
        <f>F18</f>
        <v>1</v>
      </c>
    </row>
    <row r="19" spans="1:14" ht="24.95" customHeight="1" x14ac:dyDescent="0.25">
      <c r="A19" s="403"/>
      <c r="B19" s="406"/>
      <c r="C19" s="407"/>
      <c r="D19" s="180" t="s">
        <v>59</v>
      </c>
      <c r="E19" s="410">
        <f>'Cronograma fisico financeiro'!L18</f>
        <v>76197.638399999996</v>
      </c>
      <c r="F19" s="411"/>
      <c r="G19" s="411"/>
      <c r="H19" s="411"/>
      <c r="I19" s="412"/>
      <c r="J19" s="181">
        <f>IFERROR(E19+0,0)</f>
        <v>76197.638399999996</v>
      </c>
    </row>
    <row r="20" spans="1:14" ht="24.95" customHeight="1" x14ac:dyDescent="0.25">
      <c r="A20" s="402">
        <v>2</v>
      </c>
      <c r="B20" s="404" t="s">
        <v>86</v>
      </c>
      <c r="C20" s="405"/>
      <c r="D20" s="176" t="s">
        <v>43</v>
      </c>
      <c r="E20" s="182"/>
      <c r="F20" s="408">
        <f>IFERROR($E21/J21,0)</f>
        <v>1</v>
      </c>
      <c r="G20" s="408"/>
      <c r="H20" s="408"/>
      <c r="I20" s="409"/>
      <c r="J20" s="178">
        <f>F20</f>
        <v>1</v>
      </c>
    </row>
    <row r="21" spans="1:14" ht="24.95" customHeight="1" x14ac:dyDescent="0.25">
      <c r="A21" s="403"/>
      <c r="B21" s="406"/>
      <c r="C21" s="407"/>
      <c r="D21" s="180" t="s">
        <v>59</v>
      </c>
      <c r="E21" s="410">
        <f>'Cronograma fisico financeiro'!L20</f>
        <v>216521.26860000001</v>
      </c>
      <c r="F21" s="411"/>
      <c r="G21" s="411"/>
      <c r="H21" s="411"/>
      <c r="I21" s="412"/>
      <c r="J21" s="181">
        <f>IFERROR(E21+0,0)</f>
        <v>216521.26860000001</v>
      </c>
    </row>
    <row r="22" spans="1:14" ht="24.95" customHeight="1" x14ac:dyDescent="0.25">
      <c r="A22" s="402">
        <v>3</v>
      </c>
      <c r="B22" s="404" t="s">
        <v>82</v>
      </c>
      <c r="C22" s="405"/>
      <c r="D22" s="176" t="s">
        <v>43</v>
      </c>
      <c r="E22" s="182"/>
      <c r="F22" s="408">
        <f>IFERROR($E23/J23,0)</f>
        <v>1</v>
      </c>
      <c r="G22" s="408"/>
      <c r="H22" s="408"/>
      <c r="I22" s="409"/>
      <c r="J22" s="178">
        <f>F22</f>
        <v>1</v>
      </c>
    </row>
    <row r="23" spans="1:14" ht="24.95" customHeight="1" x14ac:dyDescent="0.25">
      <c r="A23" s="403"/>
      <c r="B23" s="406"/>
      <c r="C23" s="407"/>
      <c r="D23" s="180" t="s">
        <v>59</v>
      </c>
      <c r="E23" s="410">
        <f>'Cronograma fisico financeiro'!L22</f>
        <v>10078.644159999998</v>
      </c>
      <c r="F23" s="411"/>
      <c r="G23" s="411"/>
      <c r="H23" s="411"/>
      <c r="I23" s="412"/>
      <c r="J23" s="181">
        <f>IFERROR(E23+0,0)</f>
        <v>10078.644159999998</v>
      </c>
    </row>
    <row r="24" spans="1:14" ht="24.95" customHeight="1" x14ac:dyDescent="0.25">
      <c r="A24" s="402">
        <v>4</v>
      </c>
      <c r="B24" s="404" t="s">
        <v>159</v>
      </c>
      <c r="C24" s="405"/>
      <c r="D24" s="176" t="s">
        <v>43</v>
      </c>
      <c r="E24" s="182"/>
      <c r="F24" s="408">
        <f>IFERROR($E25/J25,0)</f>
        <v>1</v>
      </c>
      <c r="G24" s="408"/>
      <c r="H24" s="408"/>
      <c r="I24" s="409"/>
      <c r="J24" s="178">
        <f>F24</f>
        <v>1</v>
      </c>
    </row>
    <row r="25" spans="1:14" ht="24.95" customHeight="1" x14ac:dyDescent="0.25">
      <c r="A25" s="403"/>
      <c r="B25" s="406"/>
      <c r="C25" s="407"/>
      <c r="D25" s="180" t="s">
        <v>59</v>
      </c>
      <c r="E25" s="410">
        <f>'Cronograma fisico financeiro'!L24</f>
        <v>12071.206920000001</v>
      </c>
      <c r="F25" s="411"/>
      <c r="G25" s="411"/>
      <c r="H25" s="411"/>
      <c r="I25" s="412"/>
      <c r="J25" s="181">
        <f>IFERROR(E25+0,0)</f>
        <v>12071.206920000001</v>
      </c>
    </row>
    <row r="26" spans="1:14" ht="24.95" hidden="1" customHeight="1" x14ac:dyDescent="0.25">
      <c r="A26" s="415">
        <v>5</v>
      </c>
      <c r="B26" s="417" t="s">
        <v>133</v>
      </c>
      <c r="C26" s="418"/>
      <c r="D26" s="183" t="s">
        <v>43</v>
      </c>
      <c r="E26" s="184"/>
      <c r="F26" s="421">
        <f>IFERROR($E27/J27,0)</f>
        <v>0</v>
      </c>
      <c r="G26" s="421"/>
      <c r="H26" s="421"/>
      <c r="I26" s="422"/>
      <c r="J26" s="185">
        <f>F26</f>
        <v>0</v>
      </c>
    </row>
    <row r="27" spans="1:14" ht="24.95" hidden="1" customHeight="1" x14ac:dyDescent="0.25">
      <c r="A27" s="416"/>
      <c r="B27" s="419"/>
      <c r="C27" s="420"/>
      <c r="D27" s="186" t="s">
        <v>59</v>
      </c>
      <c r="E27" s="423" t="s">
        <v>134</v>
      </c>
      <c r="F27" s="424"/>
      <c r="G27" s="424"/>
      <c r="H27" s="424"/>
      <c r="I27" s="425"/>
      <c r="J27" s="187">
        <f>IFERROR(E27+0,0)</f>
        <v>0</v>
      </c>
    </row>
    <row r="28" spans="1:14" ht="24.95" hidden="1" customHeight="1" x14ac:dyDescent="0.25">
      <c r="A28" s="415">
        <v>6</v>
      </c>
      <c r="B28" s="417" t="s">
        <v>133</v>
      </c>
      <c r="C28" s="418"/>
      <c r="D28" s="183" t="s">
        <v>43</v>
      </c>
      <c r="E28" s="184"/>
      <c r="F28" s="421">
        <f>IFERROR($E29/J29,0)</f>
        <v>0</v>
      </c>
      <c r="G28" s="421"/>
      <c r="H28" s="421"/>
      <c r="I28" s="422"/>
      <c r="J28" s="185">
        <f>F28</f>
        <v>0</v>
      </c>
    </row>
    <row r="29" spans="1:14" ht="24.95" hidden="1" customHeight="1" x14ac:dyDescent="0.25">
      <c r="A29" s="416"/>
      <c r="B29" s="419"/>
      <c r="C29" s="420"/>
      <c r="D29" s="186" t="s">
        <v>59</v>
      </c>
      <c r="E29" s="423" t="s">
        <v>134</v>
      </c>
      <c r="F29" s="424"/>
      <c r="G29" s="424"/>
      <c r="H29" s="424"/>
      <c r="I29" s="425"/>
      <c r="J29" s="187">
        <f>IFERROR(E29+0,0)</f>
        <v>0</v>
      </c>
    </row>
    <row r="30" spans="1:14" ht="24.95" hidden="1" customHeight="1" x14ac:dyDescent="0.25">
      <c r="A30" s="415">
        <v>7</v>
      </c>
      <c r="B30" s="417" t="s">
        <v>133</v>
      </c>
      <c r="C30" s="418"/>
      <c r="D30" s="183" t="s">
        <v>43</v>
      </c>
      <c r="E30" s="184"/>
      <c r="F30" s="421">
        <f>IFERROR($E31/J31,0)</f>
        <v>0</v>
      </c>
      <c r="G30" s="421"/>
      <c r="H30" s="421"/>
      <c r="I30" s="422"/>
      <c r="J30" s="185">
        <f>F30</f>
        <v>0</v>
      </c>
    </row>
    <row r="31" spans="1:14" ht="24.95" hidden="1" customHeight="1" x14ac:dyDescent="0.25">
      <c r="A31" s="416"/>
      <c r="B31" s="419"/>
      <c r="C31" s="420"/>
      <c r="D31" s="186" t="s">
        <v>59</v>
      </c>
      <c r="E31" s="423" t="s">
        <v>134</v>
      </c>
      <c r="F31" s="424"/>
      <c r="G31" s="424"/>
      <c r="H31" s="424"/>
      <c r="I31" s="425"/>
      <c r="J31" s="187">
        <f>IFERROR(E31+0,0)</f>
        <v>0</v>
      </c>
    </row>
    <row r="32" spans="1:14" ht="24.95" hidden="1" customHeight="1" x14ac:dyDescent="0.25">
      <c r="A32" s="415">
        <v>8</v>
      </c>
      <c r="B32" s="417" t="s">
        <v>133</v>
      </c>
      <c r="C32" s="418"/>
      <c r="D32" s="183" t="s">
        <v>43</v>
      </c>
      <c r="E32" s="184"/>
      <c r="F32" s="421">
        <f>IFERROR($E33/J33,0)</f>
        <v>0</v>
      </c>
      <c r="G32" s="421"/>
      <c r="H32" s="421"/>
      <c r="I32" s="422"/>
      <c r="J32" s="185">
        <f>F32</f>
        <v>0</v>
      </c>
    </row>
    <row r="33" spans="1:14" ht="24.95" hidden="1" customHeight="1" x14ac:dyDescent="0.25">
      <c r="A33" s="416"/>
      <c r="B33" s="419"/>
      <c r="C33" s="420"/>
      <c r="D33" s="186" t="s">
        <v>59</v>
      </c>
      <c r="E33" s="423" t="s">
        <v>134</v>
      </c>
      <c r="F33" s="424"/>
      <c r="G33" s="424"/>
      <c r="H33" s="424"/>
      <c r="I33" s="425"/>
      <c r="J33" s="187">
        <f>IFERROR(E33+0,0)</f>
        <v>0</v>
      </c>
    </row>
    <row r="34" spans="1:14" ht="24.95" hidden="1" customHeight="1" x14ac:dyDescent="0.25">
      <c r="A34" s="415">
        <v>9</v>
      </c>
      <c r="B34" s="417" t="s">
        <v>133</v>
      </c>
      <c r="C34" s="418"/>
      <c r="D34" s="183" t="s">
        <v>43</v>
      </c>
      <c r="E34" s="184"/>
      <c r="F34" s="421">
        <f>IFERROR($E35/J35,0)</f>
        <v>0</v>
      </c>
      <c r="G34" s="421"/>
      <c r="H34" s="421"/>
      <c r="I34" s="422"/>
      <c r="J34" s="185">
        <f>F34</f>
        <v>0</v>
      </c>
    </row>
    <row r="35" spans="1:14" ht="24.95" hidden="1" customHeight="1" x14ac:dyDescent="0.25">
      <c r="A35" s="416"/>
      <c r="B35" s="419"/>
      <c r="C35" s="420"/>
      <c r="D35" s="186" t="s">
        <v>59</v>
      </c>
      <c r="E35" s="423" t="s">
        <v>134</v>
      </c>
      <c r="F35" s="424"/>
      <c r="G35" s="424"/>
      <c r="H35" s="424"/>
      <c r="I35" s="425"/>
      <c r="J35" s="187">
        <f>IFERROR(E35+0,0)</f>
        <v>0</v>
      </c>
    </row>
    <row r="36" spans="1:14" ht="24.95" hidden="1" customHeight="1" x14ac:dyDescent="0.25">
      <c r="A36" s="415">
        <v>10</v>
      </c>
      <c r="B36" s="417" t="s">
        <v>133</v>
      </c>
      <c r="C36" s="418"/>
      <c r="D36" s="183" t="s">
        <v>43</v>
      </c>
      <c r="E36" s="184"/>
      <c r="F36" s="421">
        <f>IFERROR($E37/J37,0)</f>
        <v>0</v>
      </c>
      <c r="G36" s="421"/>
      <c r="H36" s="421"/>
      <c r="I36" s="422"/>
      <c r="J36" s="185">
        <f>F36</f>
        <v>0</v>
      </c>
    </row>
    <row r="37" spans="1:14" ht="24.95" hidden="1" customHeight="1" x14ac:dyDescent="0.25">
      <c r="A37" s="416"/>
      <c r="B37" s="419"/>
      <c r="C37" s="420"/>
      <c r="D37" s="186" t="s">
        <v>59</v>
      </c>
      <c r="E37" s="423" t="s">
        <v>134</v>
      </c>
      <c r="F37" s="424"/>
      <c r="G37" s="424"/>
      <c r="H37" s="424"/>
      <c r="I37" s="425"/>
      <c r="J37" s="187">
        <f>IFERROR(E37+0,0)</f>
        <v>0</v>
      </c>
    </row>
    <row r="38" spans="1:14" ht="24.95" hidden="1" customHeight="1" x14ac:dyDescent="0.25">
      <c r="A38" s="415">
        <v>11</v>
      </c>
      <c r="B38" s="417" t="s">
        <v>133</v>
      </c>
      <c r="C38" s="418"/>
      <c r="D38" s="183" t="s">
        <v>43</v>
      </c>
      <c r="E38" s="184"/>
      <c r="F38" s="421">
        <f>IFERROR($E39/J39,0)</f>
        <v>0</v>
      </c>
      <c r="G38" s="421"/>
      <c r="H38" s="421"/>
      <c r="I38" s="422"/>
      <c r="J38" s="185">
        <f>F38</f>
        <v>0</v>
      </c>
    </row>
    <row r="39" spans="1:14" ht="24.95" hidden="1" customHeight="1" x14ac:dyDescent="0.25">
      <c r="A39" s="416"/>
      <c r="B39" s="419"/>
      <c r="C39" s="420"/>
      <c r="D39" s="186" t="s">
        <v>59</v>
      </c>
      <c r="E39" s="423" t="s">
        <v>134</v>
      </c>
      <c r="F39" s="424"/>
      <c r="G39" s="424"/>
      <c r="H39" s="424"/>
      <c r="I39" s="425"/>
      <c r="J39" s="187">
        <f>IFERROR(E39+0,0)</f>
        <v>0</v>
      </c>
    </row>
    <row r="40" spans="1:14" ht="24.95" hidden="1" customHeight="1" x14ac:dyDescent="0.25">
      <c r="A40" s="415">
        <v>12</v>
      </c>
      <c r="B40" s="417" t="s">
        <v>133</v>
      </c>
      <c r="C40" s="418"/>
      <c r="D40" s="183" t="s">
        <v>43</v>
      </c>
      <c r="E40" s="184"/>
      <c r="F40" s="421">
        <f>IFERROR($E41/J41,0)</f>
        <v>0</v>
      </c>
      <c r="G40" s="421"/>
      <c r="H40" s="421"/>
      <c r="I40" s="422"/>
      <c r="J40" s="185">
        <f>F40</f>
        <v>0</v>
      </c>
    </row>
    <row r="41" spans="1:14" ht="24.95" hidden="1" customHeight="1" x14ac:dyDescent="0.25">
      <c r="A41" s="416"/>
      <c r="B41" s="419"/>
      <c r="C41" s="420"/>
      <c r="D41" s="186" t="s">
        <v>59</v>
      </c>
      <c r="E41" s="423" t="s">
        <v>134</v>
      </c>
      <c r="F41" s="424"/>
      <c r="G41" s="424"/>
      <c r="H41" s="424"/>
      <c r="I41" s="425"/>
      <c r="J41" s="187">
        <f>IFERROR(E41+0,0)</f>
        <v>0</v>
      </c>
    </row>
    <row r="42" spans="1:14" ht="24.95" hidden="1" customHeight="1" x14ac:dyDescent="0.25">
      <c r="A42" s="415">
        <v>13</v>
      </c>
      <c r="B42" s="417" t="s">
        <v>133</v>
      </c>
      <c r="C42" s="418"/>
      <c r="D42" s="183" t="s">
        <v>43</v>
      </c>
      <c r="E42" s="184"/>
      <c r="F42" s="421">
        <f>IFERROR($E43/J43,0)</f>
        <v>0</v>
      </c>
      <c r="G42" s="421"/>
      <c r="H42" s="421"/>
      <c r="I42" s="422"/>
      <c r="J42" s="185">
        <f>F42</f>
        <v>0</v>
      </c>
    </row>
    <row r="43" spans="1:14" ht="24.95" hidden="1" customHeight="1" x14ac:dyDescent="0.25">
      <c r="A43" s="416"/>
      <c r="B43" s="419"/>
      <c r="C43" s="420"/>
      <c r="D43" s="186" t="s">
        <v>59</v>
      </c>
      <c r="E43" s="423" t="s">
        <v>134</v>
      </c>
      <c r="F43" s="424"/>
      <c r="G43" s="424"/>
      <c r="H43" s="424"/>
      <c r="I43" s="425"/>
      <c r="J43" s="187">
        <f>IFERROR(E43+0,0)</f>
        <v>0</v>
      </c>
    </row>
    <row r="44" spans="1:14" ht="24.95" hidden="1" customHeight="1" x14ac:dyDescent="0.25">
      <c r="A44" s="415">
        <v>14</v>
      </c>
      <c r="B44" s="417" t="s">
        <v>133</v>
      </c>
      <c r="C44" s="418"/>
      <c r="D44" s="183" t="s">
        <v>43</v>
      </c>
      <c r="E44" s="184"/>
      <c r="F44" s="421">
        <f>IFERROR($E45/J45,0)</f>
        <v>0</v>
      </c>
      <c r="G44" s="421"/>
      <c r="H44" s="421"/>
      <c r="I44" s="422"/>
      <c r="J44" s="185">
        <f>F44</f>
        <v>0</v>
      </c>
    </row>
    <row r="45" spans="1:14" ht="24.95" hidden="1" customHeight="1" x14ac:dyDescent="0.25">
      <c r="A45" s="416"/>
      <c r="B45" s="419"/>
      <c r="C45" s="420"/>
      <c r="D45" s="186" t="s">
        <v>59</v>
      </c>
      <c r="E45" s="423" t="s">
        <v>134</v>
      </c>
      <c r="F45" s="424"/>
      <c r="G45" s="424"/>
      <c r="H45" s="424"/>
      <c r="I45" s="425"/>
      <c r="J45" s="187">
        <f>IFERROR(E45+0,0)</f>
        <v>0</v>
      </c>
    </row>
    <row r="46" spans="1:14" ht="24.95" hidden="1" customHeight="1" x14ac:dyDescent="0.25">
      <c r="A46" s="415">
        <v>15</v>
      </c>
      <c r="B46" s="417" t="s">
        <v>133</v>
      </c>
      <c r="C46" s="418"/>
      <c r="D46" s="183" t="s">
        <v>43</v>
      </c>
      <c r="E46" s="184"/>
      <c r="F46" s="421">
        <f>IFERROR($E47/J47,0)</f>
        <v>0</v>
      </c>
      <c r="G46" s="421"/>
      <c r="H46" s="421"/>
      <c r="I46" s="422"/>
      <c r="J46" s="185">
        <f>F46</f>
        <v>0</v>
      </c>
    </row>
    <row r="47" spans="1:14" ht="24.95" hidden="1" customHeight="1" x14ac:dyDescent="0.25">
      <c r="A47" s="416"/>
      <c r="B47" s="419"/>
      <c r="C47" s="420"/>
      <c r="D47" s="186" t="s">
        <v>59</v>
      </c>
      <c r="E47" s="423" t="s">
        <v>134</v>
      </c>
      <c r="F47" s="424"/>
      <c r="G47" s="424"/>
      <c r="H47" s="424"/>
      <c r="I47" s="425"/>
      <c r="J47" s="187">
        <f>IFERROR(E47+0,0)</f>
        <v>0</v>
      </c>
      <c r="K47" s="188"/>
    </row>
    <row r="48" spans="1:14" ht="15" customHeight="1" x14ac:dyDescent="0.25">
      <c r="A48" s="426"/>
      <c r="B48" s="427"/>
      <c r="C48" s="427"/>
      <c r="D48" s="428"/>
      <c r="E48" s="427"/>
      <c r="F48" s="427"/>
      <c r="G48" s="427"/>
      <c r="H48" s="427"/>
      <c r="I48" s="428"/>
      <c r="J48" s="189"/>
      <c r="K48" s="148"/>
      <c r="L48" s="190"/>
      <c r="M48" s="149"/>
      <c r="N48" s="149"/>
    </row>
    <row r="49" spans="1:14" ht="30" customHeight="1" x14ac:dyDescent="0.25">
      <c r="A49" s="429" t="s">
        <v>60</v>
      </c>
      <c r="B49" s="429"/>
      <c r="C49" s="429"/>
      <c r="D49" s="429"/>
      <c r="E49" s="430">
        <f>IFERROR(E51-E50,"")</f>
        <v>253965.52000000005</v>
      </c>
      <c r="F49" s="431"/>
      <c r="G49" s="431"/>
      <c r="H49" s="431"/>
      <c r="I49" s="432"/>
      <c r="J49" s="191">
        <f>IFERROR(E49,"")</f>
        <v>253965.52000000005</v>
      </c>
      <c r="K49" s="148"/>
      <c r="L49" s="190"/>
      <c r="M49" s="149"/>
      <c r="N49" s="149"/>
    </row>
    <row r="50" spans="1:14" ht="30" customHeight="1" x14ac:dyDescent="0.25">
      <c r="A50" s="429" t="s">
        <v>61</v>
      </c>
      <c r="B50" s="429"/>
      <c r="C50" s="429"/>
      <c r="D50" s="429"/>
      <c r="E50" s="433">
        <f>Planilha_Orçamentaria_183!P45</f>
        <v>60903.23808000001</v>
      </c>
      <c r="F50" s="434"/>
      <c r="G50" s="434"/>
      <c r="H50" s="434"/>
      <c r="I50" s="435"/>
      <c r="J50" s="191">
        <f>IF(E50="Lançar o valor da contrapartida, mesmo que ZERO","",E50)</f>
        <v>60903.23808000001</v>
      </c>
      <c r="K50" s="148"/>
      <c r="L50" s="190"/>
      <c r="M50" s="149"/>
      <c r="N50" s="149"/>
    </row>
    <row r="51" spans="1:14" ht="30" customHeight="1" x14ac:dyDescent="0.25">
      <c r="A51" s="429" t="s">
        <v>62</v>
      </c>
      <c r="B51" s="429"/>
      <c r="C51" s="429"/>
      <c r="D51" s="429"/>
      <c r="E51" s="430">
        <f>SUMIF(E18:E47,"&gt;0")</f>
        <v>314868.75808000006</v>
      </c>
      <c r="F51" s="431"/>
      <c r="G51" s="431"/>
      <c r="H51" s="431"/>
      <c r="I51" s="432"/>
      <c r="J51" s="192">
        <f>IFERROR(E51,"")</f>
        <v>314868.75808000006</v>
      </c>
      <c r="K51" s="148"/>
      <c r="L51" s="149"/>
      <c r="M51" s="149"/>
      <c r="N51" s="149"/>
    </row>
    <row r="52" spans="1:14" ht="30" customHeight="1" x14ac:dyDescent="0.25">
      <c r="A52" s="437" t="s">
        <v>63</v>
      </c>
      <c r="B52" s="437"/>
      <c r="C52" s="437"/>
      <c r="D52" s="437"/>
      <c r="E52" s="438">
        <f>IFERROR(E51/J51,"O percentual será calculado após lançamento dos valores dos itens/serviços")</f>
        <v>1</v>
      </c>
      <c r="F52" s="439"/>
      <c r="G52" s="439"/>
      <c r="H52" s="439"/>
      <c r="I52" s="440"/>
      <c r="J52" s="193">
        <f>IF(E52="O percentual será calculado após lançamento dos valores dos itens/serviços","",E52)</f>
        <v>1</v>
      </c>
      <c r="K52" s="148"/>
      <c r="L52" s="149"/>
      <c r="M52" s="149"/>
      <c r="N52" s="149"/>
    </row>
    <row r="53" spans="1:14" x14ac:dyDescent="0.25">
      <c r="A53" s="148"/>
      <c r="B53" s="148"/>
      <c r="C53" s="194"/>
      <c r="D53" s="194"/>
      <c r="E53" s="195"/>
      <c r="F53" s="195"/>
      <c r="G53" s="195"/>
      <c r="H53" s="195"/>
      <c r="I53" s="195"/>
      <c r="J53" s="195"/>
      <c r="K53" s="148"/>
      <c r="L53" s="149"/>
      <c r="M53" s="149"/>
      <c r="N53" s="149"/>
    </row>
    <row r="54" spans="1:14" x14ac:dyDescent="0.25">
      <c r="A54" s="148"/>
      <c r="B54" s="148"/>
      <c r="C54" s="441"/>
      <c r="D54" s="442"/>
      <c r="E54" s="442"/>
      <c r="F54" s="442"/>
      <c r="G54" s="442"/>
      <c r="H54" s="442"/>
      <c r="I54" s="442"/>
      <c r="J54" s="442"/>
      <c r="K54" s="148"/>
      <c r="L54" s="149"/>
      <c r="M54" s="149"/>
      <c r="N54" s="149"/>
    </row>
    <row r="55" spans="1:14" x14ac:dyDescent="0.25">
      <c r="A55" s="196"/>
      <c r="B55" s="196"/>
      <c r="C55" s="442"/>
      <c r="D55" s="442"/>
      <c r="E55" s="442"/>
      <c r="F55" s="442"/>
      <c r="G55" s="442"/>
      <c r="H55" s="442"/>
      <c r="I55" s="442"/>
      <c r="J55" s="442"/>
      <c r="K55" s="148"/>
      <c r="L55" s="149"/>
      <c r="M55" s="149"/>
      <c r="N55" s="149"/>
    </row>
    <row r="56" spans="1:14" x14ac:dyDescent="0.25">
      <c r="A56" s="197"/>
      <c r="B56" s="197"/>
      <c r="C56" s="442"/>
      <c r="D56" s="442"/>
      <c r="E56" s="442"/>
      <c r="F56" s="442"/>
      <c r="G56" s="442"/>
      <c r="H56" s="442"/>
      <c r="I56" s="442"/>
      <c r="J56" s="442"/>
      <c r="K56" s="148"/>
      <c r="L56" s="149"/>
      <c r="M56" s="149"/>
      <c r="N56" s="149"/>
    </row>
    <row r="57" spans="1:14" x14ac:dyDescent="0.25">
      <c r="A57" s="197"/>
      <c r="B57" s="197"/>
      <c r="C57" s="442"/>
      <c r="D57" s="442"/>
      <c r="E57" s="442"/>
      <c r="F57" s="442"/>
      <c r="G57" s="442"/>
      <c r="H57" s="442"/>
      <c r="I57" s="442"/>
      <c r="J57" s="442"/>
      <c r="K57" s="148"/>
      <c r="L57" s="149"/>
      <c r="M57" s="149"/>
      <c r="N57" s="149"/>
    </row>
    <row r="58" spans="1:14" x14ac:dyDescent="0.25">
      <c r="A58" s="197"/>
      <c r="B58" s="197"/>
      <c r="C58" s="442"/>
      <c r="D58" s="442"/>
      <c r="E58" s="442"/>
      <c r="F58" s="442"/>
      <c r="G58" s="442"/>
      <c r="H58" s="442"/>
      <c r="I58" s="442"/>
      <c r="J58" s="442"/>
      <c r="K58" s="148"/>
      <c r="L58" s="149"/>
      <c r="M58" s="149"/>
      <c r="N58" s="149"/>
    </row>
    <row r="59" spans="1:14" ht="30.75" customHeight="1" x14ac:dyDescent="0.25">
      <c r="A59" s="197"/>
      <c r="B59" s="197"/>
      <c r="C59" s="198"/>
      <c r="D59" s="198"/>
      <c r="E59" s="198"/>
      <c r="F59" s="198"/>
      <c r="G59" s="198"/>
      <c r="H59" s="198"/>
      <c r="I59" s="198"/>
      <c r="J59" s="198"/>
      <c r="K59" s="148"/>
      <c r="L59" s="149"/>
      <c r="M59" s="149"/>
      <c r="N59" s="149"/>
    </row>
    <row r="60" spans="1:14" ht="12" customHeight="1" x14ac:dyDescent="0.25">
      <c r="A60" s="197"/>
      <c r="B60" s="197"/>
      <c r="C60" s="198"/>
      <c r="D60" s="198"/>
      <c r="E60" s="198"/>
      <c r="F60" s="198"/>
      <c r="G60" s="198"/>
      <c r="H60" s="198"/>
      <c r="I60" s="198"/>
      <c r="J60" s="198"/>
      <c r="K60" s="148"/>
      <c r="L60" s="149"/>
      <c r="M60" s="149"/>
      <c r="N60" s="149"/>
    </row>
    <row r="61" spans="1:14" ht="13.5" customHeight="1" x14ac:dyDescent="0.25">
      <c r="A61" s="197"/>
      <c r="B61" s="197"/>
      <c r="C61" s="198"/>
      <c r="D61" s="198"/>
      <c r="E61" s="198"/>
      <c r="F61" s="198"/>
      <c r="G61" s="198"/>
      <c r="H61" s="198"/>
      <c r="I61" s="198"/>
      <c r="J61" s="198"/>
      <c r="K61" s="148"/>
      <c r="L61" s="149"/>
      <c r="M61" s="149"/>
      <c r="N61" s="149"/>
    </row>
    <row r="62" spans="1:14" ht="21" customHeight="1" x14ac:dyDescent="0.25">
      <c r="A62" s="197"/>
      <c r="B62" s="197"/>
      <c r="C62" s="198"/>
      <c r="D62" s="198"/>
      <c r="E62" s="198"/>
      <c r="F62" s="198"/>
      <c r="G62" s="198"/>
      <c r="H62" s="198"/>
      <c r="I62" s="198"/>
      <c r="J62" s="198"/>
      <c r="K62" s="148"/>
      <c r="L62" s="149"/>
      <c r="M62" s="149"/>
      <c r="N62" s="149"/>
    </row>
    <row r="63" spans="1:14" ht="54.95" customHeight="1" x14ac:dyDescent="0.25">
      <c r="A63" s="197"/>
      <c r="B63" s="197"/>
      <c r="C63" s="198"/>
      <c r="D63" s="198"/>
      <c r="E63" s="198"/>
      <c r="F63" s="198"/>
      <c r="G63" s="198"/>
      <c r="H63" s="198"/>
      <c r="I63" s="198"/>
      <c r="J63" s="198"/>
      <c r="K63" s="148"/>
      <c r="L63" s="149"/>
      <c r="M63" s="149"/>
      <c r="N63" s="149"/>
    </row>
    <row r="64" spans="1:14" x14ac:dyDescent="0.25">
      <c r="A64" s="148"/>
      <c r="B64" s="148"/>
      <c r="F64" s="148"/>
      <c r="G64" s="148"/>
      <c r="H64" s="148"/>
      <c r="I64" s="148"/>
      <c r="J64" s="148"/>
      <c r="K64" s="148"/>
      <c r="L64" s="149"/>
      <c r="M64" s="149"/>
      <c r="N64" s="149"/>
    </row>
    <row r="65" spans="1:14" x14ac:dyDescent="0.25">
      <c r="A65" s="148"/>
      <c r="B65" s="148"/>
      <c r="C65" s="199"/>
      <c r="F65" s="148"/>
      <c r="G65" s="148"/>
      <c r="H65" s="148"/>
      <c r="I65" s="148"/>
      <c r="J65" s="148"/>
      <c r="K65" s="148"/>
      <c r="L65" s="149"/>
      <c r="M65" s="149"/>
      <c r="N65" s="149"/>
    </row>
    <row r="66" spans="1:14" x14ac:dyDescent="0.2">
      <c r="C66" s="436" t="s">
        <v>33</v>
      </c>
      <c r="D66" s="436"/>
      <c r="E66" s="436"/>
      <c r="L66" s="149"/>
    </row>
    <row r="67" spans="1:14" x14ac:dyDescent="0.2">
      <c r="C67" s="436" t="s">
        <v>31</v>
      </c>
      <c r="D67" s="436"/>
      <c r="E67" s="436"/>
      <c r="L67" s="149"/>
    </row>
    <row r="68" spans="1:14" x14ac:dyDescent="0.2">
      <c r="C68" s="200" t="s">
        <v>32</v>
      </c>
      <c r="D68" s="200"/>
      <c r="E68" s="200"/>
      <c r="L68" s="149"/>
    </row>
    <row r="69" spans="1:14" x14ac:dyDescent="0.2">
      <c r="C69" s="200" t="s">
        <v>135</v>
      </c>
      <c r="D69" s="200"/>
      <c r="L69" s="149"/>
    </row>
    <row r="70" spans="1:14" x14ac:dyDescent="0.25">
      <c r="L70" s="149"/>
    </row>
    <row r="71" spans="1:14" x14ac:dyDescent="0.25">
      <c r="L71" s="149"/>
    </row>
    <row r="72" spans="1:14" x14ac:dyDescent="0.25">
      <c r="L72" s="149"/>
    </row>
    <row r="73" spans="1:14" x14ac:dyDescent="0.25">
      <c r="L73" s="149"/>
    </row>
    <row r="74" spans="1:14" x14ac:dyDescent="0.25">
      <c r="L74" s="149"/>
    </row>
    <row r="75" spans="1:14" x14ac:dyDescent="0.25">
      <c r="L75" s="149"/>
    </row>
  </sheetData>
  <sheetProtection formatCells="0" formatColumns="0" formatRows="0"/>
  <mergeCells count="99">
    <mergeCell ref="A49:D49"/>
    <mergeCell ref="E49:I49"/>
    <mergeCell ref="A50:D50"/>
    <mergeCell ref="E50:I50"/>
    <mergeCell ref="C67:E67"/>
    <mergeCell ref="A51:D51"/>
    <mergeCell ref="E51:I51"/>
    <mergeCell ref="A52:D52"/>
    <mergeCell ref="E52:I52"/>
    <mergeCell ref="C54:J58"/>
    <mergeCell ref="C66:E66"/>
    <mergeCell ref="A46:A47"/>
    <mergeCell ref="B46:C47"/>
    <mergeCell ref="F46:I46"/>
    <mergeCell ref="E47:I47"/>
    <mergeCell ref="A48:D48"/>
    <mergeCell ref="E48:I48"/>
    <mergeCell ref="A42:A43"/>
    <mergeCell ref="B42:C43"/>
    <mergeCell ref="F42:I42"/>
    <mergeCell ref="E43:I43"/>
    <mergeCell ref="A44:A45"/>
    <mergeCell ref="B44:C45"/>
    <mergeCell ref="F44:I44"/>
    <mergeCell ref="E45:I45"/>
    <mergeCell ref="A38:A39"/>
    <mergeCell ref="B38:C39"/>
    <mergeCell ref="F38:I38"/>
    <mergeCell ref="E39:I39"/>
    <mergeCell ref="A40:A41"/>
    <mergeCell ref="B40:C41"/>
    <mergeCell ref="F40:I40"/>
    <mergeCell ref="E41:I41"/>
    <mergeCell ref="A34:A35"/>
    <mergeCell ref="B34:C35"/>
    <mergeCell ref="F34:I34"/>
    <mergeCell ref="E35:I35"/>
    <mergeCell ref="A36:A37"/>
    <mergeCell ref="B36:C37"/>
    <mergeCell ref="F36:I36"/>
    <mergeCell ref="E37:I37"/>
    <mergeCell ref="A30:A31"/>
    <mergeCell ref="B30:C31"/>
    <mergeCell ref="F30:I30"/>
    <mergeCell ref="E31:I31"/>
    <mergeCell ref="A32:A33"/>
    <mergeCell ref="B32:C33"/>
    <mergeCell ref="F32:I32"/>
    <mergeCell ref="E33:I33"/>
    <mergeCell ref="A26:A27"/>
    <mergeCell ref="B26:C27"/>
    <mergeCell ref="F26:I26"/>
    <mergeCell ref="E27:I27"/>
    <mergeCell ref="A28:A29"/>
    <mergeCell ref="B28:C29"/>
    <mergeCell ref="F28:I28"/>
    <mergeCell ref="E29:I29"/>
    <mergeCell ref="A22:A23"/>
    <mergeCell ref="B22:C23"/>
    <mergeCell ref="F22:I22"/>
    <mergeCell ref="E23:I23"/>
    <mergeCell ref="A24:A25"/>
    <mergeCell ref="B24:C25"/>
    <mergeCell ref="F24:I24"/>
    <mergeCell ref="E25:I25"/>
    <mergeCell ref="A11:A16"/>
    <mergeCell ref="B11:C16"/>
    <mergeCell ref="D11:D16"/>
    <mergeCell ref="E11:I11"/>
    <mergeCell ref="A20:A21"/>
    <mergeCell ref="B20:C21"/>
    <mergeCell ref="F20:I20"/>
    <mergeCell ref="E21:I21"/>
    <mergeCell ref="E17:G17"/>
    <mergeCell ref="A18:A19"/>
    <mergeCell ref="B18:C19"/>
    <mergeCell ref="F18:I18"/>
    <mergeCell ref="E19:I19"/>
    <mergeCell ref="J11:J16"/>
    <mergeCell ref="E12:I12"/>
    <mergeCell ref="E13:F13"/>
    <mergeCell ref="H13:I13"/>
    <mergeCell ref="E14:G14"/>
    <mergeCell ref="E15:G15"/>
    <mergeCell ref="E16:G16"/>
    <mergeCell ref="A8:B8"/>
    <mergeCell ref="E8:E9"/>
    <mergeCell ref="F8:G8"/>
    <mergeCell ref="H8:J8"/>
    <mergeCell ref="A9:B9"/>
    <mergeCell ref="F9:G9"/>
    <mergeCell ref="H9:J9"/>
    <mergeCell ref="A7:B7"/>
    <mergeCell ref="F7:H7"/>
    <mergeCell ref="A1:B4"/>
    <mergeCell ref="C1:J4"/>
    <mergeCell ref="G5:J5"/>
    <mergeCell ref="A6:B6"/>
    <mergeCell ref="F6:H6"/>
  </mergeCells>
  <conditionalFormatting sqref="H9:J9">
    <cfRule type="cellIs" dxfId="43" priority="45" operator="equal">
      <formula>"Cálculo automático"</formula>
    </cfRule>
  </conditionalFormatting>
  <conditionalFormatting sqref="J19">
    <cfRule type="cellIs" dxfId="42" priority="44" operator="equal">
      <formula>"Lançar valor para as duas etapas, mesmo que ZERO"</formula>
    </cfRule>
  </conditionalFormatting>
  <conditionalFormatting sqref="E23:I23 E27:I27 E29:I29 E31:I31 E33:I33 E35:I35 E37:I37 E39:I39 E41:I41 E43:I43 E45:I45 E47:I47 E18:F18 E21:I21 E19:I19">
    <cfRule type="cellIs" dxfId="41" priority="43" operator="equal">
      <formula>0</formula>
    </cfRule>
  </conditionalFormatting>
  <conditionalFormatting sqref="E20:F20">
    <cfRule type="cellIs" dxfId="40" priority="42" operator="equal">
      <formula>0</formula>
    </cfRule>
  </conditionalFormatting>
  <conditionalFormatting sqref="E22:F22">
    <cfRule type="cellIs" dxfId="39" priority="41" operator="equal">
      <formula>0</formula>
    </cfRule>
  </conditionalFormatting>
  <conditionalFormatting sqref="E24:F24">
    <cfRule type="cellIs" dxfId="38" priority="40" operator="equal">
      <formula>0</formula>
    </cfRule>
  </conditionalFormatting>
  <conditionalFormatting sqref="E26:F26">
    <cfRule type="cellIs" dxfId="37" priority="39" operator="equal">
      <formula>0</formula>
    </cfRule>
  </conditionalFormatting>
  <conditionalFormatting sqref="E28:F28">
    <cfRule type="cellIs" dxfId="36" priority="38" operator="equal">
      <formula>0</formula>
    </cfRule>
  </conditionalFormatting>
  <conditionalFormatting sqref="E30:F30">
    <cfRule type="cellIs" dxfId="35" priority="37" operator="equal">
      <formula>0</formula>
    </cfRule>
  </conditionalFormatting>
  <conditionalFormatting sqref="E32:F32">
    <cfRule type="cellIs" dxfId="34" priority="36" operator="equal">
      <formula>0</formula>
    </cfRule>
  </conditionalFormatting>
  <conditionalFormatting sqref="E34:F34">
    <cfRule type="cellIs" dxfId="33" priority="35" operator="equal">
      <formula>0</formula>
    </cfRule>
  </conditionalFormatting>
  <conditionalFormatting sqref="E36:F36">
    <cfRule type="cellIs" dxfId="32" priority="34" operator="equal">
      <formula>0</formula>
    </cfRule>
  </conditionalFormatting>
  <conditionalFormatting sqref="E38:F38">
    <cfRule type="cellIs" dxfId="31" priority="33" operator="equal">
      <formula>0</formula>
    </cfRule>
  </conditionalFormatting>
  <conditionalFormatting sqref="E40:F40">
    <cfRule type="cellIs" dxfId="30" priority="32" operator="equal">
      <formula>0</formula>
    </cfRule>
  </conditionalFormatting>
  <conditionalFormatting sqref="E42:F42">
    <cfRule type="cellIs" dxfId="29" priority="31" operator="equal">
      <formula>0</formula>
    </cfRule>
  </conditionalFormatting>
  <conditionalFormatting sqref="E44:F44">
    <cfRule type="cellIs" dxfId="28" priority="30" operator="equal">
      <formula>0</formula>
    </cfRule>
  </conditionalFormatting>
  <conditionalFormatting sqref="E46:F46">
    <cfRule type="cellIs" dxfId="27" priority="29" operator="equal">
      <formula>0</formula>
    </cfRule>
  </conditionalFormatting>
  <conditionalFormatting sqref="H15">
    <cfRule type="cellIs" dxfId="26" priority="28" operator="equal">
      <formula>"XXX"</formula>
    </cfRule>
  </conditionalFormatting>
  <conditionalFormatting sqref="E18:F18 E20:F20 E23:I23 E22:F22 E24:F24 E27:I27 E26:F26 E29:I29 E28:F28 E31:I31 E30:F30 E33:I33 E32:F32 E35:I35 E34:F34 E37:I37 E36:F36 E39:I39 E38:F38 E41:I41 E40:F40 E43:I43 E42:F42 E45:I45 E44:F44 E47:I47 E46:F46 E21:I21 E19:I19">
    <cfRule type="cellIs" dxfId="25" priority="27" operator="equal">
      <formula>"Lançar o valor mesmo que ZERO"</formula>
    </cfRule>
  </conditionalFormatting>
  <conditionalFormatting sqref="F7:H7">
    <cfRule type="cellIs" dxfId="24" priority="26" operator="equal">
      <formula>"Inserir n.º do boletim e se com ou sem desoneração"</formula>
    </cfRule>
  </conditionalFormatting>
  <conditionalFormatting sqref="J7">
    <cfRule type="cellIs" dxfId="23" priority="25" operator="equal">
      <formula>"Inserir data base do orçamento proposto"</formula>
    </cfRule>
  </conditionalFormatting>
  <conditionalFormatting sqref="C6">
    <cfRule type="cellIs" dxfId="22" priority="24" operator="equal">
      <formula>"Nome do Municipio"</formula>
    </cfRule>
  </conditionalFormatting>
  <conditionalFormatting sqref="C7">
    <cfRule type="cellIs" dxfId="21" priority="23" operator="equal">
      <formula>"Nome do Objeto aprovado no COC"</formula>
    </cfRule>
  </conditionalFormatting>
  <conditionalFormatting sqref="C8">
    <cfRule type="cellIs" dxfId="20" priority="22" operator="equal">
      <formula>"N.º do processo da Secretaria de Turismo"</formula>
    </cfRule>
  </conditionalFormatting>
  <conditionalFormatting sqref="E50:I50">
    <cfRule type="cellIs" dxfId="19" priority="21" operator="equal">
      <formula>"Lançar o valor da contrapartida, mesmo que ZERO"</formula>
    </cfRule>
  </conditionalFormatting>
  <conditionalFormatting sqref="B18:C47">
    <cfRule type="cellIs" dxfId="18" priority="20" operator="equal">
      <formula>"Descrição do Item"</formula>
    </cfRule>
  </conditionalFormatting>
  <conditionalFormatting sqref="J21">
    <cfRule type="cellIs" dxfId="17" priority="19" operator="equal">
      <formula>"Lançar valor para as duas etapas, mesmo que ZERO"</formula>
    </cfRule>
  </conditionalFormatting>
  <conditionalFormatting sqref="J23">
    <cfRule type="cellIs" dxfId="16" priority="18" operator="equal">
      <formula>"Lançar valor para as duas etapas, mesmo que ZERO"</formula>
    </cfRule>
  </conditionalFormatting>
  <conditionalFormatting sqref="J33">
    <cfRule type="cellIs" dxfId="15" priority="13" operator="equal">
      <formula>"Lançar valor para as duas etapas, mesmo que ZERO"</formula>
    </cfRule>
  </conditionalFormatting>
  <conditionalFormatting sqref="J27">
    <cfRule type="cellIs" dxfId="14" priority="16" operator="equal">
      <formula>"Lançar valor para as duas etapas, mesmo que ZERO"</formula>
    </cfRule>
  </conditionalFormatting>
  <conditionalFormatting sqref="J29">
    <cfRule type="cellIs" dxfId="13" priority="15" operator="equal">
      <formula>"Lançar valor para as duas etapas, mesmo que ZERO"</formula>
    </cfRule>
  </conditionalFormatting>
  <conditionalFormatting sqref="J31">
    <cfRule type="cellIs" dxfId="12" priority="14" operator="equal">
      <formula>"Lançar valor para as duas etapas, mesmo que ZERO"</formula>
    </cfRule>
  </conditionalFormatting>
  <conditionalFormatting sqref="J35">
    <cfRule type="cellIs" dxfId="11" priority="12" operator="equal">
      <formula>"Lançar valor para as duas etapas, mesmo que ZERO"</formula>
    </cfRule>
  </conditionalFormatting>
  <conditionalFormatting sqref="J37">
    <cfRule type="cellIs" dxfId="10" priority="11" operator="equal">
      <formula>"Lançar valor para as duas etapas, mesmo que ZERO"</formula>
    </cfRule>
  </conditionalFormatting>
  <conditionalFormatting sqref="J39">
    <cfRule type="cellIs" dxfId="9" priority="10" operator="equal">
      <formula>"Lançar valor para as duas etapas, mesmo que ZERO"</formula>
    </cfRule>
  </conditionalFormatting>
  <conditionalFormatting sqref="J41">
    <cfRule type="cellIs" dxfId="8" priority="9" operator="equal">
      <formula>"Lançar valor para as duas etapas, mesmo que ZERO"</formula>
    </cfRule>
  </conditionalFormatting>
  <conditionalFormatting sqref="J43">
    <cfRule type="cellIs" dxfId="7" priority="8" operator="equal">
      <formula>"Lançar valor para as duas etapas, mesmo que ZERO"</formula>
    </cfRule>
  </conditionalFormatting>
  <conditionalFormatting sqref="J45">
    <cfRule type="cellIs" dxfId="6" priority="7" operator="equal">
      <formula>"Lançar valor para as duas etapas, mesmo que ZERO"</formula>
    </cfRule>
  </conditionalFormatting>
  <conditionalFormatting sqref="J47">
    <cfRule type="cellIs" dxfId="5" priority="6" operator="equal">
      <formula>"Lançar valor para as duas etapas, mesmo que ZERO"</formula>
    </cfRule>
  </conditionalFormatting>
  <conditionalFormatting sqref="J18:J24 J26:J47">
    <cfRule type="cellIs" dxfId="4" priority="5" operator="equal">
      <formula>0</formula>
    </cfRule>
  </conditionalFormatting>
  <conditionalFormatting sqref="E25:I25">
    <cfRule type="cellIs" dxfId="3" priority="4" operator="equal">
      <formula>0</formula>
    </cfRule>
  </conditionalFormatting>
  <conditionalFormatting sqref="E25:I25">
    <cfRule type="cellIs" dxfId="2" priority="3" operator="equal">
      <formula>"Lançar o valor mesmo que ZERO"</formula>
    </cfRule>
  </conditionalFormatting>
  <conditionalFormatting sqref="J25">
    <cfRule type="cellIs" dxfId="1" priority="2" operator="equal">
      <formula>"Lançar valor para as duas etapas, mesmo que ZERO"</formula>
    </cfRule>
  </conditionalFormatting>
  <conditionalFormatting sqref="J25">
    <cfRule type="cellIs" dxfId="0" priority="1" operator="equal">
      <formula>0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61" orientation="portrait" r:id="rId1"/>
  <ignoredErrors>
    <ignoredError sqref="E19:I24 E47:J49 E33:I33 E34:I44 E45:I45 E51:J52 F50:I50 E46:I46 E26:I32 F25:I25" unlockedFormula="1"/>
    <ignoredError sqref="J34:J46 J19:J32 J50" formula="1" unlockedFormula="1"/>
    <ignoredError sqref="J33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EBE5-73A1-424B-B705-FF92740BF85E}">
  <sheetPr>
    <pageSetUpPr fitToPage="1"/>
  </sheetPr>
  <dimension ref="C1:M154"/>
  <sheetViews>
    <sheetView showGridLines="0" view="pageBreakPreview" zoomScale="85" zoomScaleNormal="100" zoomScaleSheetLayoutView="85" workbookViewId="0">
      <selection activeCell="J147" sqref="J147"/>
    </sheetView>
  </sheetViews>
  <sheetFormatPr defaultColWidth="8.85546875" defaultRowHeight="15" x14ac:dyDescent="0.2"/>
  <cols>
    <col min="1" max="2" width="8.85546875" style="4"/>
    <col min="3" max="3" width="14" style="4" customWidth="1"/>
    <col min="4" max="4" width="9.5703125" style="4" customWidth="1"/>
    <col min="5" max="5" width="10" style="4" customWidth="1"/>
    <col min="6" max="6" width="35.28515625" style="4" customWidth="1"/>
    <col min="7" max="7" width="9.5703125" style="19" customWidth="1"/>
    <col min="8" max="8" width="10.28515625" style="4" bestFit="1" customWidth="1"/>
    <col min="9" max="9" width="17.42578125" style="3" bestFit="1" customWidth="1"/>
    <col min="10" max="10" width="42.42578125" style="4" customWidth="1"/>
    <col min="11" max="11" width="8.85546875" style="4"/>
    <col min="12" max="12" width="17.28515625" style="4" bestFit="1" customWidth="1"/>
    <col min="13" max="13" width="107" style="4" bestFit="1" customWidth="1"/>
    <col min="14" max="16384" width="8.85546875" style="4"/>
  </cols>
  <sheetData>
    <row r="1" spans="3:13" s="19" customFormat="1" x14ac:dyDescent="0.2">
      <c r="I1" s="3"/>
    </row>
    <row r="2" spans="3:13" s="19" customFormat="1" x14ac:dyDescent="0.2">
      <c r="I2" s="3"/>
    </row>
    <row r="3" spans="3:13" s="19" customFormat="1" x14ac:dyDescent="0.2">
      <c r="I3" s="3"/>
    </row>
    <row r="4" spans="3:13" s="19" customFormat="1" x14ac:dyDescent="0.2">
      <c r="I4" s="3"/>
    </row>
    <row r="5" spans="3:13" s="19" customFormat="1" x14ac:dyDescent="0.2">
      <c r="I5" s="3"/>
    </row>
    <row r="6" spans="3:13" s="40" customFormat="1" x14ac:dyDescent="0.25">
      <c r="C6" s="295" t="s">
        <v>46</v>
      </c>
      <c r="D6" s="295"/>
      <c r="E6" s="295"/>
      <c r="F6" s="295"/>
      <c r="G6" s="295"/>
      <c r="H6" s="295"/>
      <c r="I6" s="39"/>
      <c r="J6" s="39"/>
      <c r="K6" s="39"/>
      <c r="L6" s="39"/>
      <c r="M6" s="39"/>
    </row>
    <row r="7" spans="3:13" s="2" customFormat="1" ht="12.75" x14ac:dyDescent="0.2">
      <c r="C7" s="2" t="s">
        <v>29</v>
      </c>
    </row>
    <row r="8" spans="3:13" s="2" customFormat="1" ht="12.75" x14ac:dyDescent="0.2">
      <c r="C8" s="471" t="str">
        <f>Planilha_Orçamentaria_183!C11</f>
        <v>OBJETO: REVITALIZAÇÃO, PAISAGISMO E IMPLANTAÇÃO DE ACESSIBILIDADE DA AV. JORGE SALUSTIANO DE JESUS</v>
      </c>
      <c r="D8" s="471"/>
      <c r="E8" s="471"/>
      <c r="F8" s="471"/>
      <c r="G8" s="471"/>
      <c r="H8" s="471"/>
    </row>
    <row r="9" spans="3:13" s="2" customFormat="1" ht="12.75" x14ac:dyDescent="0.2">
      <c r="C9" s="471"/>
      <c r="D9" s="471"/>
      <c r="E9" s="471"/>
      <c r="F9" s="471"/>
      <c r="G9" s="471"/>
      <c r="H9" s="471"/>
    </row>
    <row r="10" spans="3:13" s="2" customFormat="1" ht="12.75" x14ac:dyDescent="0.2">
      <c r="C10" s="2" t="s">
        <v>96</v>
      </c>
      <c r="H10" s="37" t="s">
        <v>218</v>
      </c>
    </row>
    <row r="12" spans="3:13" s="19" customFormat="1" ht="15.75" x14ac:dyDescent="0.25">
      <c r="C12" s="36" t="s">
        <v>2</v>
      </c>
      <c r="D12" s="450" t="s">
        <v>22</v>
      </c>
      <c r="E12" s="451"/>
      <c r="F12" s="450" t="s">
        <v>23</v>
      </c>
      <c r="G12" s="452"/>
      <c r="H12" s="451"/>
      <c r="I12" s="3"/>
    </row>
    <row r="13" spans="3:13" s="19" customFormat="1" ht="30" customHeight="1" x14ac:dyDescent="0.2">
      <c r="C13" s="5" t="str">
        <f>Planilha_Orçamentaria_183!D17</f>
        <v>1.1</v>
      </c>
      <c r="D13" s="453" t="str">
        <f>Planilha_Orçamentaria_183!E17</f>
        <v>0208020</v>
      </c>
      <c r="E13" s="454"/>
      <c r="F13" s="455" t="str">
        <f>Planilha_Orçamentaria_183!F17</f>
        <v>Placa de identificação para obra</v>
      </c>
      <c r="G13" s="456"/>
      <c r="H13" s="454"/>
      <c r="I13" s="3"/>
    </row>
    <row r="14" spans="3:13" s="19" customFormat="1" x14ac:dyDescent="0.2">
      <c r="C14" s="20" t="s">
        <v>24</v>
      </c>
      <c r="D14" s="6"/>
      <c r="E14" s="6"/>
      <c r="F14" s="7"/>
      <c r="G14" s="7"/>
      <c r="H14" s="8"/>
      <c r="I14" s="3"/>
    </row>
    <row r="15" spans="3:13" x14ac:dyDescent="0.2">
      <c r="C15" s="9" t="s">
        <v>25</v>
      </c>
      <c r="D15" s="49"/>
      <c r="E15" s="49"/>
      <c r="F15" s="50"/>
      <c r="G15" s="50"/>
      <c r="H15" s="10"/>
    </row>
    <row r="16" spans="3:13" x14ac:dyDescent="0.2">
      <c r="C16" s="16" t="s">
        <v>26</v>
      </c>
      <c r="D16" s="18">
        <v>6</v>
      </c>
      <c r="E16" s="17" t="s">
        <v>105</v>
      </c>
      <c r="F16" s="11"/>
      <c r="G16" s="11"/>
      <c r="H16" s="12"/>
    </row>
    <row r="17" spans="3:9" ht="15.75" x14ac:dyDescent="0.25">
      <c r="C17" s="35" t="s">
        <v>2</v>
      </c>
      <c r="D17" s="457" t="s">
        <v>22</v>
      </c>
      <c r="E17" s="457"/>
      <c r="F17" s="457" t="s">
        <v>23</v>
      </c>
      <c r="G17" s="457"/>
      <c r="H17" s="457"/>
    </row>
    <row r="18" spans="3:9" ht="45" customHeight="1" x14ac:dyDescent="0.2">
      <c r="C18" s="5" t="str">
        <f>Planilha_Orçamentaria_183!D18</f>
        <v>1.2</v>
      </c>
      <c r="D18" s="449" t="str">
        <f>Planilha_Orçamentaria_183!E18</f>
        <v>0301240</v>
      </c>
      <c r="E18" s="448"/>
      <c r="F18" s="458" t="str">
        <f>Planilha_Orçamentaria_183!F18</f>
        <v>Demolição mecanizada de pavimento ou piso em concreto, inclusive fragmentação, carregamento, transporte até 1 quilômetro e descarregamento</v>
      </c>
      <c r="G18" s="458"/>
      <c r="H18" s="458"/>
    </row>
    <row r="19" spans="3:9" x14ac:dyDescent="0.2">
      <c r="C19" s="20" t="s">
        <v>113</v>
      </c>
      <c r="D19" s="132" t="s">
        <v>114</v>
      </c>
      <c r="E19" s="132"/>
      <c r="F19" s="141" t="s">
        <v>115</v>
      </c>
      <c r="G19" s="141" t="s">
        <v>118</v>
      </c>
      <c r="H19" s="138"/>
    </row>
    <row r="20" spans="3:9" x14ac:dyDescent="0.2">
      <c r="C20" s="13" t="s">
        <v>99</v>
      </c>
      <c r="D20" s="124">
        <f>80.1+80.1+32.57+26.4</f>
        <v>219.17</v>
      </c>
      <c r="E20" s="123" t="s">
        <v>106</v>
      </c>
      <c r="F20" s="140" t="s">
        <v>116</v>
      </c>
      <c r="G20" s="135">
        <f>D20*2</f>
        <v>438.34</v>
      </c>
      <c r="H20" s="127" t="s">
        <v>105</v>
      </c>
    </row>
    <row r="21" spans="3:9" x14ac:dyDescent="0.2">
      <c r="C21" s="13" t="s">
        <v>100</v>
      </c>
      <c r="D21" s="124">
        <v>53.97</v>
      </c>
      <c r="E21" s="123" t="s">
        <v>106</v>
      </c>
      <c r="F21" s="140" t="s">
        <v>117</v>
      </c>
      <c r="G21" s="135">
        <f>D21*1</f>
        <v>53.97</v>
      </c>
      <c r="H21" s="127" t="s">
        <v>105</v>
      </c>
    </row>
    <row r="22" spans="3:9" s="19" customFormat="1" x14ac:dyDescent="0.2">
      <c r="C22" s="13" t="s">
        <v>101</v>
      </c>
      <c r="D22" s="124">
        <f>90+90+32.59+32.59</f>
        <v>245.18</v>
      </c>
      <c r="E22" s="123" t="s">
        <v>106</v>
      </c>
      <c r="F22" s="140" t="s">
        <v>116</v>
      </c>
      <c r="G22" s="135">
        <f t="shared" ref="G22:G24" si="0">D22*2</f>
        <v>490.36</v>
      </c>
      <c r="H22" s="127" t="s">
        <v>105</v>
      </c>
      <c r="I22" s="3"/>
    </row>
    <row r="23" spans="3:9" s="19" customFormat="1" x14ac:dyDescent="0.2">
      <c r="C23" s="13" t="s">
        <v>102</v>
      </c>
      <c r="D23" s="124">
        <f>137.69+79.51+34.04+214+28.6</f>
        <v>493.84000000000003</v>
      </c>
      <c r="E23" s="123" t="s">
        <v>106</v>
      </c>
      <c r="F23" s="140" t="s">
        <v>116</v>
      </c>
      <c r="G23" s="135">
        <f t="shared" si="0"/>
        <v>987.68000000000006</v>
      </c>
      <c r="H23" s="127" t="s">
        <v>105</v>
      </c>
      <c r="I23" s="3"/>
    </row>
    <row r="24" spans="3:9" s="19" customFormat="1" x14ac:dyDescent="0.2">
      <c r="C24" s="13" t="s">
        <v>103</v>
      </c>
      <c r="D24" s="124">
        <f>97+20.3+93.45+30.42</f>
        <v>241.17000000000002</v>
      </c>
      <c r="E24" s="123" t="s">
        <v>106</v>
      </c>
      <c r="F24" s="140" t="s">
        <v>116</v>
      </c>
      <c r="G24" s="135">
        <f t="shared" si="0"/>
        <v>482.34000000000003</v>
      </c>
      <c r="H24" s="127" t="s">
        <v>105</v>
      </c>
      <c r="I24" s="3"/>
    </row>
    <row r="25" spans="3:9" s="19" customFormat="1" x14ac:dyDescent="0.2">
      <c r="C25" s="13"/>
      <c r="D25" s="124"/>
      <c r="E25" s="123"/>
      <c r="F25" s="126" t="s">
        <v>111</v>
      </c>
      <c r="G25" s="142">
        <f>SUM(G20:G24)</f>
        <v>2452.69</v>
      </c>
      <c r="H25" s="127" t="s">
        <v>105</v>
      </c>
      <c r="I25" s="3"/>
    </row>
    <row r="26" spans="3:9" x14ac:dyDescent="0.2">
      <c r="C26" s="122"/>
      <c r="D26" s="125"/>
      <c r="E26" s="123"/>
      <c r="F26" s="51"/>
      <c r="G26" s="51"/>
      <c r="H26" s="15"/>
    </row>
    <row r="27" spans="3:9" ht="15.75" x14ac:dyDescent="0.25">
      <c r="C27" s="144" t="s">
        <v>2</v>
      </c>
      <c r="D27" s="450" t="s">
        <v>22</v>
      </c>
      <c r="E27" s="451"/>
      <c r="F27" s="450" t="s">
        <v>23</v>
      </c>
      <c r="G27" s="452"/>
      <c r="H27" s="451"/>
    </row>
    <row r="28" spans="3:9" ht="45" customHeight="1" x14ac:dyDescent="0.2">
      <c r="C28" s="5" t="str">
        <f>Planilha_Orçamentaria_183!D19</f>
        <v>1.3</v>
      </c>
      <c r="D28" s="446" t="str">
        <f>Planilha_Orçamentaria_183!E19</f>
        <v>0440010</v>
      </c>
      <c r="E28" s="447"/>
      <c r="F28" s="447" t="str">
        <f>Planilha_Orçamentaria_183!F19</f>
        <v>Retirada manual de guia pré-moldada, inclusive limpeza, carregamento, transporte até 1 quilômetro e descarregamento</v>
      </c>
      <c r="G28" s="447"/>
      <c r="H28" s="447"/>
    </row>
    <row r="29" spans="3:9" s="19" customFormat="1" ht="14.45" customHeight="1" x14ac:dyDescent="0.2">
      <c r="C29" s="20" t="s">
        <v>113</v>
      </c>
      <c r="D29" s="132" t="s">
        <v>114</v>
      </c>
      <c r="E29" s="132"/>
      <c r="F29" s="141"/>
      <c r="G29" s="141"/>
      <c r="H29" s="138"/>
      <c r="I29" s="3"/>
    </row>
    <row r="30" spans="3:9" s="19" customFormat="1" ht="14.45" customHeight="1" x14ac:dyDescent="0.2">
      <c r="C30" s="13" t="s">
        <v>99</v>
      </c>
      <c r="D30" s="130">
        <f>3.1+3.1+3.1+3.1+2</f>
        <v>14.4</v>
      </c>
      <c r="E30" s="123" t="s">
        <v>106</v>
      </c>
      <c r="F30" s="443" t="s">
        <v>153</v>
      </c>
      <c r="G30" s="443"/>
      <c r="H30" s="444"/>
      <c r="I30" s="3"/>
    </row>
    <row r="31" spans="3:9" s="19" customFormat="1" ht="14.45" customHeight="1" x14ac:dyDescent="0.2">
      <c r="C31" s="13" t="s">
        <v>100</v>
      </c>
      <c r="D31" s="130">
        <v>2</v>
      </c>
      <c r="E31" s="123" t="s">
        <v>106</v>
      </c>
      <c r="F31" s="443"/>
      <c r="G31" s="443"/>
      <c r="H31" s="444"/>
      <c r="I31" s="3"/>
    </row>
    <row r="32" spans="3:9" s="19" customFormat="1" ht="14.45" customHeight="1" x14ac:dyDescent="0.2">
      <c r="C32" s="13" t="s">
        <v>101</v>
      </c>
      <c r="D32" s="130">
        <f>3.1+3.1+3.1+3.1</f>
        <v>12.4</v>
      </c>
      <c r="E32" s="123" t="s">
        <v>106</v>
      </c>
      <c r="F32" s="443"/>
      <c r="G32" s="443"/>
      <c r="H32" s="444"/>
      <c r="I32" s="3"/>
    </row>
    <row r="33" spans="3:9" s="19" customFormat="1" ht="14.45" customHeight="1" x14ac:dyDescent="0.2">
      <c r="C33" s="13" t="s">
        <v>102</v>
      </c>
      <c r="D33" s="130">
        <f>3.1+3.1+3.1+3.1+4+7</f>
        <v>23.4</v>
      </c>
      <c r="E33" s="123" t="s">
        <v>106</v>
      </c>
      <c r="F33" s="140"/>
      <c r="G33" s="145"/>
      <c r="H33" s="127"/>
      <c r="I33" s="3"/>
    </row>
    <row r="34" spans="3:9" s="19" customFormat="1" ht="14.45" customHeight="1" x14ac:dyDescent="0.2">
      <c r="C34" s="13" t="s">
        <v>103</v>
      </c>
      <c r="D34" s="211">
        <f>3.1+3.1+3.1+3.1+2+3+3+5</f>
        <v>25.4</v>
      </c>
      <c r="E34" s="123" t="s">
        <v>106</v>
      </c>
      <c r="F34" s="140"/>
      <c r="G34" s="145"/>
      <c r="H34" s="127"/>
      <c r="I34" s="3"/>
    </row>
    <row r="35" spans="3:9" s="19" customFormat="1" ht="14.45" customHeight="1" x14ac:dyDescent="0.2">
      <c r="C35" s="13" t="s">
        <v>111</v>
      </c>
      <c r="D35" s="130">
        <f>SUM(D30:D34)</f>
        <v>77.599999999999994</v>
      </c>
      <c r="E35" s="123" t="s">
        <v>106</v>
      </c>
      <c r="F35" s="126"/>
      <c r="G35" s="142"/>
      <c r="H35" s="127"/>
      <c r="I35" s="3"/>
    </row>
    <row r="36" spans="3:9" s="19" customFormat="1" ht="14.45" customHeight="1" x14ac:dyDescent="0.2">
      <c r="C36" s="14"/>
      <c r="D36" s="112"/>
      <c r="E36" s="113"/>
      <c r="F36" s="113"/>
      <c r="G36" s="113"/>
      <c r="H36" s="116"/>
      <c r="I36" s="3"/>
    </row>
    <row r="37" spans="3:9" s="19" customFormat="1" ht="14.45" customHeight="1" x14ac:dyDescent="0.2">
      <c r="C37" s="117"/>
      <c r="D37" s="118"/>
      <c r="E37" s="119"/>
      <c r="F37" s="119"/>
      <c r="G37" s="119"/>
      <c r="H37" s="120"/>
      <c r="I37" s="3"/>
    </row>
    <row r="38" spans="3:9" ht="15.75" x14ac:dyDescent="0.25">
      <c r="C38" s="109" t="s">
        <v>2</v>
      </c>
      <c r="D38" s="445" t="s">
        <v>22</v>
      </c>
      <c r="E38" s="445"/>
      <c r="F38" s="445" t="s">
        <v>23</v>
      </c>
      <c r="G38" s="445"/>
      <c r="H38" s="445"/>
      <c r="I38" s="4"/>
    </row>
    <row r="39" spans="3:9" ht="28.9" customHeight="1" x14ac:dyDescent="0.2">
      <c r="C39" s="5" t="str">
        <f>Planilha_Orçamentaria_183!D22</f>
        <v>2.1</v>
      </c>
      <c r="D39" s="449" t="str">
        <f>Planilha_Orçamentaria_183!E22</f>
        <v>1705070</v>
      </c>
      <c r="E39" s="448"/>
      <c r="F39" s="448" t="str">
        <f>Planilha_Orçamentaria_183!F22</f>
        <v>Piso com requadro em concreto simples com controle de fck= 20 MPa</v>
      </c>
      <c r="G39" s="448"/>
      <c r="H39" s="448"/>
      <c r="I39" s="4"/>
    </row>
    <row r="40" spans="3:9" s="19" customFormat="1" ht="15" customHeight="1" x14ac:dyDescent="0.2">
      <c r="C40" s="20" t="s">
        <v>113</v>
      </c>
      <c r="D40" s="132" t="s">
        <v>114</v>
      </c>
      <c r="E40" s="132"/>
      <c r="F40" s="141" t="s">
        <v>148</v>
      </c>
      <c r="G40" s="141" t="s">
        <v>118</v>
      </c>
      <c r="H40" s="115"/>
    </row>
    <row r="41" spans="3:9" x14ac:dyDescent="0.2">
      <c r="C41" s="13" t="s">
        <v>99</v>
      </c>
      <c r="D41" s="130">
        <v>4</v>
      </c>
      <c r="E41" s="123" t="s">
        <v>108</v>
      </c>
      <c r="F41" s="140">
        <v>1.84</v>
      </c>
      <c r="G41" s="135">
        <f>F41*D41</f>
        <v>7.36</v>
      </c>
      <c r="H41" s="146" t="s">
        <v>105</v>
      </c>
    </row>
    <row r="42" spans="3:9" x14ac:dyDescent="0.2">
      <c r="C42" s="13" t="s">
        <v>101</v>
      </c>
      <c r="D42" s="130">
        <v>4</v>
      </c>
      <c r="E42" s="123" t="s">
        <v>108</v>
      </c>
      <c r="F42" s="140">
        <v>1.84</v>
      </c>
      <c r="G42" s="135">
        <f t="shared" ref="G42:G44" si="1">F42*D42</f>
        <v>7.36</v>
      </c>
      <c r="H42" s="146" t="s">
        <v>105</v>
      </c>
    </row>
    <row r="43" spans="3:9" s="19" customFormat="1" x14ac:dyDescent="0.2">
      <c r="C43" s="13" t="s">
        <v>102</v>
      </c>
      <c r="D43" s="130">
        <v>4</v>
      </c>
      <c r="E43" s="123" t="s">
        <v>108</v>
      </c>
      <c r="F43" s="140">
        <v>1.84</v>
      </c>
      <c r="G43" s="135">
        <f t="shared" si="1"/>
        <v>7.36</v>
      </c>
      <c r="H43" s="146" t="s">
        <v>105</v>
      </c>
      <c r="I43" s="3"/>
    </row>
    <row r="44" spans="3:9" s="19" customFormat="1" x14ac:dyDescent="0.2">
      <c r="C44" s="13" t="s">
        <v>103</v>
      </c>
      <c r="D44" s="130">
        <v>4</v>
      </c>
      <c r="E44" s="123" t="s">
        <v>108</v>
      </c>
      <c r="F44" s="140">
        <v>1.84</v>
      </c>
      <c r="G44" s="135">
        <f t="shared" si="1"/>
        <v>7.36</v>
      </c>
      <c r="H44" s="146" t="s">
        <v>105</v>
      </c>
      <c r="I44" s="3"/>
    </row>
    <row r="45" spans="3:9" s="19" customFormat="1" x14ac:dyDescent="0.2">
      <c r="C45" s="122"/>
      <c r="D45" s="125"/>
      <c r="E45" s="123"/>
      <c r="F45" s="126" t="s">
        <v>111</v>
      </c>
      <c r="G45" s="129">
        <f>SUM(G41:G44)</f>
        <v>29.44</v>
      </c>
      <c r="H45" s="146" t="s">
        <v>105</v>
      </c>
      <c r="I45" s="3"/>
    </row>
    <row r="46" spans="3:9" s="19" customFormat="1" x14ac:dyDescent="0.2">
      <c r="C46" s="202"/>
      <c r="D46" s="130"/>
      <c r="E46" s="123"/>
      <c r="F46" s="126" t="s">
        <v>149</v>
      </c>
      <c r="G46" s="129">
        <v>7.0000000000000007E-2</v>
      </c>
      <c r="H46" s="127" t="s">
        <v>106</v>
      </c>
      <c r="I46" s="3"/>
    </row>
    <row r="47" spans="3:9" s="19" customFormat="1" x14ac:dyDescent="0.2">
      <c r="C47" s="13"/>
      <c r="D47" s="130"/>
      <c r="E47" s="123"/>
      <c r="F47" s="126" t="s">
        <v>150</v>
      </c>
      <c r="G47" s="129">
        <f>G46*G45</f>
        <v>2.0608000000000004</v>
      </c>
      <c r="H47" s="127" t="s">
        <v>109</v>
      </c>
      <c r="I47" s="3"/>
    </row>
    <row r="48" spans="3:9" ht="15.75" x14ac:dyDescent="0.25">
      <c r="C48" s="109" t="s">
        <v>2</v>
      </c>
      <c r="D48" s="445" t="s">
        <v>22</v>
      </c>
      <c r="E48" s="445"/>
      <c r="F48" s="445" t="s">
        <v>23</v>
      </c>
      <c r="G48" s="445"/>
      <c r="H48" s="445"/>
    </row>
    <row r="49" spans="3:9" ht="28.9" customHeight="1" x14ac:dyDescent="0.2">
      <c r="C49" s="5" t="str">
        <f>Planilha_Orçamentaria_183!D23</f>
        <v>2.2</v>
      </c>
      <c r="D49" s="446" t="str">
        <f>Planilha_Orçamentaria_183!E23</f>
        <v>5406020</v>
      </c>
      <c r="E49" s="447"/>
      <c r="F49" s="447" t="str">
        <f>Planilha_Orçamentaria_183!F23</f>
        <v>Guia pré-moldada curva tipo PMSP 100 - fck 25 MPa</v>
      </c>
      <c r="G49" s="447"/>
      <c r="H49" s="447"/>
    </row>
    <row r="50" spans="3:9" x14ac:dyDescent="0.2">
      <c r="C50" s="20" t="s">
        <v>113</v>
      </c>
      <c r="D50" s="132" t="s">
        <v>114</v>
      </c>
      <c r="E50" s="114"/>
      <c r="F50" s="114"/>
      <c r="G50" s="114"/>
      <c r="H50" s="115"/>
    </row>
    <row r="51" spans="3:9" x14ac:dyDescent="0.2">
      <c r="C51" s="13" t="s">
        <v>99</v>
      </c>
      <c r="D51" s="130">
        <v>2</v>
      </c>
      <c r="E51" s="123" t="s">
        <v>106</v>
      </c>
      <c r="F51" s="113"/>
      <c r="G51" s="113"/>
      <c r="H51" s="116"/>
    </row>
    <row r="52" spans="3:9" s="19" customFormat="1" x14ac:dyDescent="0.2">
      <c r="C52" s="13" t="s">
        <v>100</v>
      </c>
      <c r="D52" s="130">
        <v>2</v>
      </c>
      <c r="E52" s="123" t="s">
        <v>106</v>
      </c>
      <c r="F52" s="113"/>
      <c r="G52" s="113"/>
      <c r="H52" s="116"/>
      <c r="I52" s="3"/>
    </row>
    <row r="53" spans="3:9" x14ac:dyDescent="0.2">
      <c r="C53" s="13" t="s">
        <v>101</v>
      </c>
      <c r="D53" s="130">
        <v>0</v>
      </c>
      <c r="E53" s="123" t="s">
        <v>106</v>
      </c>
      <c r="F53" s="113"/>
      <c r="G53" s="113"/>
      <c r="H53" s="116"/>
    </row>
    <row r="54" spans="3:9" s="19" customFormat="1" x14ac:dyDescent="0.2">
      <c r="C54" s="13" t="s">
        <v>102</v>
      </c>
      <c r="D54" s="130">
        <f>7+4</f>
        <v>11</v>
      </c>
      <c r="E54" s="123" t="s">
        <v>106</v>
      </c>
      <c r="F54" s="113"/>
      <c r="G54" s="113"/>
      <c r="H54" s="116"/>
      <c r="I54" s="3"/>
    </row>
    <row r="55" spans="3:9" s="19" customFormat="1" x14ac:dyDescent="0.2">
      <c r="C55" s="13" t="s">
        <v>103</v>
      </c>
      <c r="D55" s="211">
        <f>3+5+3+2</f>
        <v>13</v>
      </c>
      <c r="E55" s="123" t="s">
        <v>106</v>
      </c>
      <c r="F55" s="113"/>
      <c r="G55" s="113"/>
      <c r="H55" s="116"/>
      <c r="I55" s="3"/>
    </row>
    <row r="56" spans="3:9" s="19" customFormat="1" x14ac:dyDescent="0.2">
      <c r="C56" s="122" t="s">
        <v>104</v>
      </c>
      <c r="D56" s="125">
        <f>SUM(D51:D55)</f>
        <v>28</v>
      </c>
      <c r="E56" s="123" t="s">
        <v>106</v>
      </c>
      <c r="F56" s="113"/>
      <c r="G56" s="113"/>
      <c r="H56" s="116"/>
      <c r="I56" s="3"/>
    </row>
    <row r="57" spans="3:9" x14ac:dyDescent="0.2">
      <c r="C57" s="117"/>
      <c r="D57" s="118"/>
      <c r="E57" s="119"/>
      <c r="F57" s="119"/>
      <c r="G57" s="119"/>
      <c r="H57" s="120"/>
    </row>
    <row r="58" spans="3:9" ht="15.75" x14ac:dyDescent="0.25">
      <c r="C58" s="109" t="s">
        <v>2</v>
      </c>
      <c r="D58" s="445" t="s">
        <v>22</v>
      </c>
      <c r="E58" s="445"/>
      <c r="F58" s="445" t="s">
        <v>23</v>
      </c>
      <c r="G58" s="445"/>
      <c r="H58" s="445"/>
    </row>
    <row r="59" spans="3:9" ht="30" customHeight="1" x14ac:dyDescent="0.2">
      <c r="C59" s="5" t="str">
        <f>Planilha_Orçamentaria_183!D24</f>
        <v>2.3</v>
      </c>
      <c r="D59" s="449" t="str">
        <f>Planilha_Orçamentaria_183!E24</f>
        <v>3004100</v>
      </c>
      <c r="E59" s="448"/>
      <c r="F59" s="448" t="str">
        <f>Planilha_Orçamentaria_183!F24</f>
        <v>Piso tátil de concreto, alerta / direcional, intertravado, espessura de 6 cm, com rejunte em areia</v>
      </c>
      <c r="G59" s="448"/>
      <c r="H59" s="448"/>
    </row>
    <row r="60" spans="3:9" s="19" customFormat="1" ht="15" customHeight="1" x14ac:dyDescent="0.2">
      <c r="C60" s="20" t="s">
        <v>113</v>
      </c>
      <c r="D60" s="132" t="s">
        <v>114</v>
      </c>
      <c r="E60" s="114"/>
      <c r="F60" s="114" t="s">
        <v>152</v>
      </c>
      <c r="G60" s="114" t="s">
        <v>118</v>
      </c>
      <c r="H60" s="115"/>
      <c r="I60" s="3"/>
    </row>
    <row r="61" spans="3:9" x14ac:dyDescent="0.2">
      <c r="C61" s="13" t="s">
        <v>99</v>
      </c>
      <c r="D61" s="124">
        <v>225.15</v>
      </c>
      <c r="E61" s="123" t="s">
        <v>106</v>
      </c>
      <c r="F61" s="221">
        <v>0.2</v>
      </c>
      <c r="G61" s="129">
        <f>ROUND(D61*F61,2)</f>
        <v>45.03</v>
      </c>
      <c r="H61" s="127" t="s">
        <v>105</v>
      </c>
    </row>
    <row r="62" spans="3:9" x14ac:dyDescent="0.2">
      <c r="C62" s="13" t="s">
        <v>101</v>
      </c>
      <c r="D62" s="130">
        <v>251.27</v>
      </c>
      <c r="E62" s="123" t="s">
        <v>106</v>
      </c>
      <c r="F62" s="221">
        <v>0.2</v>
      </c>
      <c r="G62" s="129">
        <f t="shared" ref="G62:G64" si="2">ROUND(D62*F62,2)</f>
        <v>50.25</v>
      </c>
      <c r="H62" s="127" t="s">
        <v>105</v>
      </c>
    </row>
    <row r="63" spans="3:9" x14ac:dyDescent="0.2">
      <c r="C63" s="13" t="s">
        <v>102</v>
      </c>
      <c r="D63" s="124">
        <v>499.85</v>
      </c>
      <c r="E63" s="123" t="s">
        <v>106</v>
      </c>
      <c r="F63" s="221">
        <v>0.2</v>
      </c>
      <c r="G63" s="129">
        <f t="shared" si="2"/>
        <v>99.97</v>
      </c>
      <c r="H63" s="127" t="s">
        <v>105</v>
      </c>
    </row>
    <row r="64" spans="3:9" s="19" customFormat="1" x14ac:dyDescent="0.2">
      <c r="C64" s="13" t="s">
        <v>103</v>
      </c>
      <c r="D64" s="267">
        <v>247.53</v>
      </c>
      <c r="E64" s="123" t="s">
        <v>106</v>
      </c>
      <c r="F64" s="221">
        <v>0.2</v>
      </c>
      <c r="G64" s="129">
        <f t="shared" si="2"/>
        <v>49.51</v>
      </c>
      <c r="H64" s="127" t="s">
        <v>105</v>
      </c>
      <c r="I64" s="3"/>
    </row>
    <row r="65" spans="3:9" s="19" customFormat="1" x14ac:dyDescent="0.2">
      <c r="C65" s="122" t="s">
        <v>104</v>
      </c>
      <c r="D65" s="268">
        <f>SUM(D61:D64)</f>
        <v>1223.8</v>
      </c>
      <c r="E65" s="123" t="s">
        <v>106</v>
      </c>
      <c r="F65" s="126" t="s">
        <v>107</v>
      </c>
      <c r="G65" s="129">
        <f>SUM(G61:G64)</f>
        <v>244.76</v>
      </c>
      <c r="H65" s="127" t="s">
        <v>105</v>
      </c>
      <c r="I65" s="3"/>
    </row>
    <row r="66" spans="3:9" x14ac:dyDescent="0.2">
      <c r="C66" s="137"/>
      <c r="D66" s="136"/>
      <c r="E66" s="136"/>
      <c r="F66" s="119"/>
      <c r="G66" s="119"/>
      <c r="H66" s="120"/>
    </row>
    <row r="67" spans="3:9" ht="15.75" x14ac:dyDescent="0.25">
      <c r="C67" s="109" t="s">
        <v>2</v>
      </c>
      <c r="D67" s="445" t="s">
        <v>22</v>
      </c>
      <c r="E67" s="445"/>
      <c r="F67" s="445" t="s">
        <v>23</v>
      </c>
      <c r="G67" s="445"/>
      <c r="H67" s="445"/>
    </row>
    <row r="68" spans="3:9" ht="45" customHeight="1" x14ac:dyDescent="0.2">
      <c r="C68" s="5" t="str">
        <f>Planilha_Orçamentaria_183!D25</f>
        <v>2.4</v>
      </c>
      <c r="D68" s="446" t="str">
        <f>Planilha_Orçamentaria_183!E25</f>
        <v>5404340</v>
      </c>
      <c r="E68" s="447"/>
      <c r="F68" s="447" t="str">
        <f>Planilha_Orçamentaria_183!F25</f>
        <v>Pavimentação em lajota de concreto 35 MPa, espessura 6 cm, cor natural, tipos: raquete, retangular, sextavado e 16 faces, com rejunte em areia</v>
      </c>
      <c r="G68" s="447"/>
      <c r="H68" s="447"/>
    </row>
    <row r="69" spans="3:9" x14ac:dyDescent="0.2">
      <c r="C69" s="20" t="s">
        <v>113</v>
      </c>
      <c r="D69" s="132" t="s">
        <v>114</v>
      </c>
      <c r="E69" s="132"/>
      <c r="F69" s="141" t="s">
        <v>115</v>
      </c>
      <c r="G69" s="141" t="s">
        <v>118</v>
      </c>
      <c r="H69" s="138"/>
    </row>
    <row r="70" spans="3:9" x14ac:dyDescent="0.2">
      <c r="C70" s="13" t="s">
        <v>99</v>
      </c>
      <c r="D70" s="124">
        <f>80.1+80.1+32.57+26.4</f>
        <v>219.17</v>
      </c>
      <c r="E70" s="123" t="s">
        <v>106</v>
      </c>
      <c r="F70" s="140" t="s">
        <v>116</v>
      </c>
      <c r="G70" s="135">
        <f>D70*2</f>
        <v>438.34</v>
      </c>
      <c r="H70" s="127" t="s">
        <v>105</v>
      </c>
    </row>
    <row r="71" spans="3:9" x14ac:dyDescent="0.2">
      <c r="C71" s="13" t="s">
        <v>100</v>
      </c>
      <c r="D71" s="124">
        <v>53.97</v>
      </c>
      <c r="E71" s="123" t="s">
        <v>106</v>
      </c>
      <c r="F71" s="140" t="s">
        <v>117</v>
      </c>
      <c r="G71" s="135">
        <f>D71*1</f>
        <v>53.97</v>
      </c>
      <c r="H71" s="127" t="s">
        <v>105</v>
      </c>
    </row>
    <row r="72" spans="3:9" s="19" customFormat="1" x14ac:dyDescent="0.2">
      <c r="C72" s="13" t="s">
        <v>101</v>
      </c>
      <c r="D72" s="124">
        <f>90+90+32.59+32.59</f>
        <v>245.18</v>
      </c>
      <c r="E72" s="123" t="s">
        <v>106</v>
      </c>
      <c r="F72" s="140" t="s">
        <v>116</v>
      </c>
      <c r="G72" s="135">
        <f t="shared" ref="G72:G74" si="3">D72*2</f>
        <v>490.36</v>
      </c>
      <c r="H72" s="127" t="s">
        <v>105</v>
      </c>
      <c r="I72" s="3"/>
    </row>
    <row r="73" spans="3:9" s="19" customFormat="1" x14ac:dyDescent="0.2">
      <c r="C73" s="13" t="s">
        <v>102</v>
      </c>
      <c r="D73" s="124">
        <f>137.69+79.51+34.04+214+28.6</f>
        <v>493.84000000000003</v>
      </c>
      <c r="E73" s="123" t="s">
        <v>106</v>
      </c>
      <c r="F73" s="140" t="s">
        <v>116</v>
      </c>
      <c r="G73" s="135">
        <f t="shared" si="3"/>
        <v>987.68000000000006</v>
      </c>
      <c r="H73" s="127" t="s">
        <v>105</v>
      </c>
      <c r="I73" s="3"/>
    </row>
    <row r="74" spans="3:9" s="19" customFormat="1" x14ac:dyDescent="0.2">
      <c r="C74" s="13" t="s">
        <v>103</v>
      </c>
      <c r="D74" s="124">
        <f>97+20.3+93.45+30.42</f>
        <v>241.17000000000002</v>
      </c>
      <c r="E74" s="123" t="s">
        <v>106</v>
      </c>
      <c r="F74" s="140" t="s">
        <v>116</v>
      </c>
      <c r="G74" s="135">
        <f t="shared" si="3"/>
        <v>482.34000000000003</v>
      </c>
      <c r="H74" s="127" t="s">
        <v>105</v>
      </c>
      <c r="I74" s="3"/>
    </row>
    <row r="75" spans="3:9" s="19" customFormat="1" x14ac:dyDescent="0.2">
      <c r="C75" s="13"/>
      <c r="D75" s="124"/>
      <c r="E75" s="123"/>
      <c r="F75" s="126" t="s">
        <v>111</v>
      </c>
      <c r="G75" s="142">
        <f>SUM(G70:G74)</f>
        <v>2452.69</v>
      </c>
      <c r="H75" s="127" t="s">
        <v>105</v>
      </c>
      <c r="I75" s="3"/>
    </row>
    <row r="76" spans="3:9" s="19" customFormat="1" x14ac:dyDescent="0.2">
      <c r="C76" s="13" t="s">
        <v>112</v>
      </c>
      <c r="D76" s="124"/>
      <c r="E76" s="123"/>
      <c r="F76" s="128"/>
      <c r="G76" s="129"/>
      <c r="H76" s="127"/>
      <c r="I76" s="3"/>
    </row>
    <row r="77" spans="3:9" s="19" customFormat="1" x14ac:dyDescent="0.2">
      <c r="C77" s="13" t="s">
        <v>120</v>
      </c>
      <c r="D77" s="124"/>
      <c r="E77" s="123"/>
      <c r="F77" s="128"/>
      <c r="G77" s="129">
        <f>G45</f>
        <v>29.44</v>
      </c>
      <c r="H77" s="127" t="s">
        <v>105</v>
      </c>
      <c r="I77" s="3"/>
    </row>
    <row r="78" spans="3:9" s="19" customFormat="1" x14ac:dyDescent="0.2">
      <c r="C78" s="13" t="s">
        <v>119</v>
      </c>
      <c r="D78" s="124"/>
      <c r="E78" s="123"/>
      <c r="F78" s="128"/>
      <c r="G78" s="129">
        <f>G65</f>
        <v>244.76</v>
      </c>
      <c r="H78" s="127" t="s">
        <v>105</v>
      </c>
      <c r="I78" s="3"/>
    </row>
    <row r="79" spans="3:9" x14ac:dyDescent="0.2">
      <c r="C79" s="133" t="s">
        <v>121</v>
      </c>
      <c r="D79" s="134"/>
      <c r="E79" s="17"/>
      <c r="F79" s="139"/>
      <c r="G79" s="143">
        <f>G75-G77-G78</f>
        <v>2178.4899999999998</v>
      </c>
      <c r="H79" s="127" t="s">
        <v>105</v>
      </c>
    </row>
    <row r="80" spans="3:9" ht="15.75" x14ac:dyDescent="0.25">
      <c r="C80" s="109" t="s">
        <v>2</v>
      </c>
      <c r="D80" s="445" t="s">
        <v>22</v>
      </c>
      <c r="E80" s="445"/>
      <c r="F80" s="445" t="s">
        <v>23</v>
      </c>
      <c r="G80" s="445"/>
      <c r="H80" s="445"/>
    </row>
    <row r="81" spans="3:9" ht="28.9" customHeight="1" x14ac:dyDescent="0.2">
      <c r="C81" s="5" t="str">
        <f>Planilha_Orçamentaria_183!D31</f>
        <v>3.1</v>
      </c>
      <c r="D81" s="446" t="str">
        <f>Planilha_Orçamentaria_183!E31</f>
        <v>3311050</v>
      </c>
      <c r="E81" s="447"/>
      <c r="F81" s="448" t="str">
        <f>Planilha_Orçamentaria_183!F31</f>
        <v>Esmalte à base água em superfície metálica, inclusive preparo</v>
      </c>
      <c r="G81" s="448"/>
      <c r="H81" s="448"/>
    </row>
    <row r="82" spans="3:9" s="19" customFormat="1" ht="15" customHeight="1" x14ac:dyDescent="0.2">
      <c r="C82" s="20" t="s">
        <v>113</v>
      </c>
      <c r="D82" s="132" t="s">
        <v>114</v>
      </c>
      <c r="E82" s="114"/>
      <c r="F82" s="114" t="s">
        <v>110</v>
      </c>
      <c r="G82" s="114" t="s">
        <v>118</v>
      </c>
      <c r="H82" s="131"/>
      <c r="I82" s="3"/>
    </row>
    <row r="83" spans="3:9" x14ac:dyDescent="0.2">
      <c r="C83" s="13" t="s">
        <v>99</v>
      </c>
      <c r="D83" s="130">
        <f>78.39+78.37+29.87+23.06</f>
        <v>209.69</v>
      </c>
      <c r="E83" s="123" t="s">
        <v>106</v>
      </c>
      <c r="F83" s="140">
        <v>0.25</v>
      </c>
      <c r="G83" s="129">
        <f>F83*D83</f>
        <v>52.422499999999999</v>
      </c>
      <c r="H83" s="127" t="s">
        <v>105</v>
      </c>
    </row>
    <row r="84" spans="3:9" x14ac:dyDescent="0.2">
      <c r="C84" s="13" t="s">
        <v>101</v>
      </c>
      <c r="D84" s="130">
        <f>88.04+88.04+30.03+29.02</f>
        <v>235.13000000000002</v>
      </c>
      <c r="E84" s="123" t="s">
        <v>106</v>
      </c>
      <c r="F84" s="140">
        <v>0.25</v>
      </c>
      <c r="G84" s="129">
        <f t="shared" ref="G84:G86" si="4">F84*D84</f>
        <v>58.782500000000006</v>
      </c>
      <c r="H84" s="127" t="s">
        <v>105</v>
      </c>
    </row>
    <row r="85" spans="3:9" x14ac:dyDescent="0.2">
      <c r="C85" s="13" t="s">
        <v>102</v>
      </c>
      <c r="D85" s="130">
        <f>31.67+96.88+17.8+17.8+113.63+24.86</f>
        <v>302.64000000000004</v>
      </c>
      <c r="E85" s="123" t="s">
        <v>106</v>
      </c>
      <c r="F85" s="140">
        <v>0.25</v>
      </c>
      <c r="G85" s="129">
        <f t="shared" si="4"/>
        <v>75.660000000000011</v>
      </c>
      <c r="H85" s="127" t="s">
        <v>105</v>
      </c>
    </row>
    <row r="86" spans="3:9" s="19" customFormat="1" x14ac:dyDescent="0.2">
      <c r="C86" s="13" t="s">
        <v>103</v>
      </c>
      <c r="D86" s="130">
        <f>17.83+91.71+27.74</f>
        <v>137.28</v>
      </c>
      <c r="E86" s="123" t="s">
        <v>106</v>
      </c>
      <c r="F86" s="140">
        <v>0.25</v>
      </c>
      <c r="G86" s="129">
        <f t="shared" si="4"/>
        <v>34.32</v>
      </c>
      <c r="H86" s="127" t="s">
        <v>105</v>
      </c>
      <c r="I86" s="3"/>
    </row>
    <row r="87" spans="3:9" s="19" customFormat="1" x14ac:dyDescent="0.2">
      <c r="C87" s="210"/>
      <c r="D87" s="211"/>
      <c r="E87" s="17"/>
      <c r="F87" s="212" t="s">
        <v>111</v>
      </c>
      <c r="G87" s="214">
        <f>ROUNDDOWN(SUM(G83:G86),2)</f>
        <v>221.18</v>
      </c>
      <c r="H87" s="213" t="s">
        <v>105</v>
      </c>
      <c r="I87" s="3"/>
    </row>
    <row r="88" spans="3:9" ht="15.75" x14ac:dyDescent="0.25">
      <c r="C88" s="222" t="s">
        <v>2</v>
      </c>
      <c r="D88" s="445" t="s">
        <v>22</v>
      </c>
      <c r="E88" s="445"/>
      <c r="F88" s="445" t="s">
        <v>23</v>
      </c>
      <c r="G88" s="445"/>
      <c r="H88" s="445"/>
    </row>
    <row r="89" spans="3:9" ht="30" customHeight="1" x14ac:dyDescent="0.2">
      <c r="C89" s="5" t="str">
        <f>Planilha_Orçamentaria_183!D34</f>
        <v>4.1</v>
      </c>
      <c r="D89" s="461" t="str">
        <f>Planilha_Orçamentaria_183!E34</f>
        <v>1201021</v>
      </c>
      <c r="E89" s="462" t="str">
        <f>Planilha_Orçamentaria_183!F34</f>
        <v>Broca em concreto armado diâmetro de 20 cm - completa</v>
      </c>
      <c r="F89" s="447" t="str">
        <f>Planilha_Orçamentaria_183!F34</f>
        <v>Broca em concreto armado diâmetro de 20 cm - completa</v>
      </c>
      <c r="G89" s="447"/>
      <c r="H89" s="447"/>
      <c r="I89" s="4"/>
    </row>
    <row r="90" spans="3:9" s="19" customFormat="1" ht="15" customHeight="1" x14ac:dyDescent="0.2">
      <c r="C90" s="227" t="s">
        <v>198</v>
      </c>
      <c r="D90" s="255" t="s">
        <v>114</v>
      </c>
      <c r="E90" s="229"/>
      <c r="F90" s="257" t="s">
        <v>111</v>
      </c>
      <c r="G90" s="114"/>
      <c r="H90" s="115"/>
    </row>
    <row r="91" spans="3:9" s="19" customFormat="1" ht="15" customHeight="1" x14ac:dyDescent="0.2">
      <c r="C91" s="256">
        <v>3</v>
      </c>
      <c r="D91" s="125" t="s">
        <v>199</v>
      </c>
      <c r="E91" s="123" t="s">
        <v>106</v>
      </c>
      <c r="F91" s="129">
        <f>D91*C91</f>
        <v>4.5</v>
      </c>
      <c r="G91" s="128" t="s">
        <v>106</v>
      </c>
      <c r="H91" s="116"/>
    </row>
    <row r="92" spans="3:9" s="19" customFormat="1" ht="15" customHeight="1" x14ac:dyDescent="0.2">
      <c r="C92" s="14"/>
      <c r="D92" s="225"/>
      <c r="E92" s="226"/>
      <c r="F92" s="113"/>
      <c r="G92" s="113"/>
      <c r="H92" s="116"/>
    </row>
    <row r="93" spans="3:9" s="19" customFormat="1" ht="15" customHeight="1" x14ac:dyDescent="0.25">
      <c r="C93" s="222" t="s">
        <v>2</v>
      </c>
      <c r="D93" s="445" t="s">
        <v>22</v>
      </c>
      <c r="E93" s="445"/>
      <c r="F93" s="445" t="s">
        <v>23</v>
      </c>
      <c r="G93" s="445"/>
      <c r="H93" s="445"/>
    </row>
    <row r="94" spans="3:9" ht="30" customHeight="1" x14ac:dyDescent="0.2">
      <c r="C94" s="232" t="str">
        <f>Planilha_Orçamentaria_183!D35</f>
        <v>4.2</v>
      </c>
      <c r="D94" s="463" t="str">
        <f>Planilha_Orçamentaria_183!E35</f>
        <v>0601020</v>
      </c>
      <c r="E94" s="464" t="str">
        <f>Planilha_Orçamentaria_183!F35</f>
        <v>Escavação manual em solo de 1ª e 2ª categoria em campo aberto</v>
      </c>
      <c r="F94" s="465" t="str">
        <f>Planilha_Orçamentaria_183!F35</f>
        <v>Escavação manual em solo de 1ª e 2ª categoria em campo aberto</v>
      </c>
      <c r="G94" s="465"/>
      <c r="H94" s="465"/>
      <c r="I94" s="4"/>
    </row>
    <row r="95" spans="3:9" s="19" customFormat="1" x14ac:dyDescent="0.2">
      <c r="C95" s="227" t="s">
        <v>114</v>
      </c>
      <c r="D95" s="228" t="s">
        <v>152</v>
      </c>
      <c r="E95" s="229" t="s">
        <v>200</v>
      </c>
      <c r="F95" s="468" t="s">
        <v>201</v>
      </c>
      <c r="G95" s="468"/>
      <c r="H95" s="115"/>
    </row>
    <row r="96" spans="3:9" s="19" customFormat="1" x14ac:dyDescent="0.2">
      <c r="C96" s="256">
        <v>6</v>
      </c>
      <c r="D96" s="258">
        <v>0.4</v>
      </c>
      <c r="E96" s="258">
        <v>0.3</v>
      </c>
      <c r="F96" s="126">
        <f>E96*D96*C96</f>
        <v>0.72</v>
      </c>
      <c r="G96" s="128" t="s">
        <v>109</v>
      </c>
      <c r="H96" s="116"/>
    </row>
    <row r="97" spans="3:9" s="19" customFormat="1" x14ac:dyDescent="0.2">
      <c r="C97" s="14"/>
      <c r="D97" s="225"/>
      <c r="E97" s="226"/>
      <c r="F97" s="113"/>
      <c r="G97" s="113"/>
      <c r="H97" s="116"/>
    </row>
    <row r="98" spans="3:9" s="19" customFormat="1" ht="15.75" x14ac:dyDescent="0.25">
      <c r="C98" s="222" t="s">
        <v>2</v>
      </c>
      <c r="D98" s="445" t="s">
        <v>22</v>
      </c>
      <c r="E98" s="445"/>
      <c r="F98" s="445" t="s">
        <v>23</v>
      </c>
      <c r="G98" s="445"/>
      <c r="H98" s="445"/>
    </row>
    <row r="99" spans="3:9" x14ac:dyDescent="0.2">
      <c r="C99" s="232" t="str">
        <f>Planilha_Orçamentaria_183!D36</f>
        <v>4.3</v>
      </c>
      <c r="D99" s="463" t="str">
        <f>Planilha_Orçamentaria_183!E36</f>
        <v>1118040</v>
      </c>
      <c r="E99" s="464" t="str">
        <f>Planilha_Orçamentaria_183!F36</f>
        <v>Lastro de pedra britada</v>
      </c>
      <c r="F99" s="465" t="str">
        <f>Planilha_Orçamentaria_183!F36</f>
        <v>Lastro de pedra britada</v>
      </c>
      <c r="G99" s="465"/>
      <c r="H99" s="465"/>
      <c r="I99" s="4"/>
    </row>
    <row r="100" spans="3:9" s="19" customFormat="1" x14ac:dyDescent="0.2">
      <c r="C100" s="227" t="s">
        <v>114</v>
      </c>
      <c r="D100" s="228" t="s">
        <v>152</v>
      </c>
      <c r="E100" s="229" t="s">
        <v>200</v>
      </c>
      <c r="F100" s="468" t="s">
        <v>167</v>
      </c>
      <c r="G100" s="468"/>
      <c r="H100" s="115"/>
    </row>
    <row r="101" spans="3:9" s="19" customFormat="1" x14ac:dyDescent="0.2">
      <c r="C101" s="256">
        <v>6</v>
      </c>
      <c r="D101" s="258">
        <v>0.2</v>
      </c>
      <c r="E101" s="258">
        <v>0.05</v>
      </c>
      <c r="F101" s="129">
        <f>E101*D101*C101</f>
        <v>6.0000000000000012E-2</v>
      </c>
      <c r="G101" s="128" t="s">
        <v>109</v>
      </c>
      <c r="H101" s="116"/>
    </row>
    <row r="102" spans="3:9" s="19" customFormat="1" x14ac:dyDescent="0.2">
      <c r="C102" s="14"/>
      <c r="D102" s="225"/>
      <c r="E102" s="226"/>
      <c r="F102" s="113"/>
      <c r="G102" s="113"/>
      <c r="H102" s="116"/>
    </row>
    <row r="103" spans="3:9" s="19" customFormat="1" ht="15.75" x14ac:dyDescent="0.25">
      <c r="C103" s="223" t="s">
        <v>2</v>
      </c>
      <c r="D103" s="457" t="s">
        <v>22</v>
      </c>
      <c r="E103" s="457"/>
      <c r="F103" s="457" t="s">
        <v>23</v>
      </c>
      <c r="G103" s="457"/>
      <c r="H103" s="457"/>
    </row>
    <row r="104" spans="3:9" x14ac:dyDescent="0.2">
      <c r="C104" s="5" t="str">
        <f>Planilha_Orçamentaria_183!D37</f>
        <v>4.4</v>
      </c>
      <c r="D104" s="461" t="str">
        <f>Planilha_Orçamentaria_183!E37</f>
        <v>0901020</v>
      </c>
      <c r="E104" s="462" t="str">
        <f>Planilha_Orçamentaria_183!F37</f>
        <v>Forma em madeira comum para fundação</v>
      </c>
      <c r="F104" s="447" t="str">
        <f>Planilha_Orçamentaria_183!F37</f>
        <v>Forma em madeira comum para fundação</v>
      </c>
      <c r="G104" s="447"/>
      <c r="H104" s="447"/>
      <c r="I104" s="4"/>
    </row>
    <row r="105" spans="3:9" s="19" customFormat="1" ht="15" customHeight="1" x14ac:dyDescent="0.2">
      <c r="C105" s="227" t="s">
        <v>114</v>
      </c>
      <c r="D105" s="228" t="s">
        <v>200</v>
      </c>
      <c r="E105" s="229"/>
      <c r="F105" s="469" t="s">
        <v>169</v>
      </c>
      <c r="G105" s="469"/>
      <c r="H105" s="470"/>
    </row>
    <row r="106" spans="3:9" s="19" customFormat="1" x14ac:dyDescent="0.2">
      <c r="C106" s="256">
        <f>6+6+0.2+0.2</f>
        <v>12.399999999999999</v>
      </c>
      <c r="D106" s="258">
        <v>0.2</v>
      </c>
      <c r="E106" s="258"/>
      <c r="F106" s="129">
        <f>D106*C106</f>
        <v>2.48</v>
      </c>
      <c r="G106" s="128" t="s">
        <v>105</v>
      </c>
      <c r="H106" s="116"/>
    </row>
    <row r="107" spans="3:9" s="19" customFormat="1" x14ac:dyDescent="0.2">
      <c r="C107" s="14"/>
      <c r="D107" s="225"/>
      <c r="E107" s="226"/>
      <c r="F107" s="113"/>
      <c r="G107" s="113"/>
      <c r="H107" s="116"/>
    </row>
    <row r="108" spans="3:9" s="19" customFormat="1" ht="15.75" x14ac:dyDescent="0.25">
      <c r="C108" s="223" t="s">
        <v>2</v>
      </c>
      <c r="D108" s="457" t="s">
        <v>22</v>
      </c>
      <c r="E108" s="457"/>
      <c r="F108" s="457" t="s">
        <v>23</v>
      </c>
      <c r="G108" s="457"/>
      <c r="H108" s="457"/>
    </row>
    <row r="109" spans="3:9" x14ac:dyDescent="0.2">
      <c r="C109" s="5" t="str">
        <f>Planilha_Orçamentaria_183!D38</f>
        <v>4.5</v>
      </c>
      <c r="D109" s="461" t="str">
        <f>Planilha_Orçamentaria_183!E38</f>
        <v>1001040</v>
      </c>
      <c r="E109" s="462" t="str">
        <f>Planilha_Orçamentaria_183!F38</f>
        <v>Armadura em barra de aço CA-50 (A ou B) fyk = 500 MPa</v>
      </c>
      <c r="F109" s="447" t="str">
        <f>Planilha_Orçamentaria_183!F38</f>
        <v>Armadura em barra de aço CA-50 (A ou B) fyk = 500 MPa</v>
      </c>
      <c r="G109" s="447"/>
      <c r="H109" s="447"/>
      <c r="I109" s="4"/>
    </row>
    <row r="110" spans="3:9" s="19" customFormat="1" x14ac:dyDescent="0.2">
      <c r="C110" s="227"/>
      <c r="D110" s="255" t="s">
        <v>205</v>
      </c>
      <c r="E110" s="229"/>
      <c r="F110" s="114"/>
      <c r="G110" s="114"/>
      <c r="H110" s="115"/>
    </row>
    <row r="111" spans="3:9" s="19" customFormat="1" x14ac:dyDescent="0.2">
      <c r="C111" s="14"/>
      <c r="D111" s="225" t="s">
        <v>203</v>
      </c>
      <c r="E111" s="125">
        <f>AÇO!C11</f>
        <v>10.428000000000001</v>
      </c>
      <c r="F111" s="128" t="s">
        <v>204</v>
      </c>
      <c r="G111" s="113"/>
      <c r="H111" s="116"/>
    </row>
    <row r="112" spans="3:9" s="19" customFormat="1" x14ac:dyDescent="0.2">
      <c r="C112" s="14"/>
      <c r="D112" s="225"/>
      <c r="E112" s="226"/>
      <c r="F112" s="113"/>
      <c r="G112" s="113"/>
      <c r="H112" s="116"/>
    </row>
    <row r="113" spans="3:9" s="19" customFormat="1" ht="15.75" x14ac:dyDescent="0.25">
      <c r="C113" s="222" t="s">
        <v>2</v>
      </c>
      <c r="D113" s="445" t="s">
        <v>22</v>
      </c>
      <c r="E113" s="445"/>
      <c r="F113" s="445" t="s">
        <v>23</v>
      </c>
      <c r="G113" s="445"/>
      <c r="H113" s="445"/>
    </row>
    <row r="114" spans="3:9" s="19" customFormat="1" x14ac:dyDescent="0.2">
      <c r="C114" s="224" t="str">
        <f>Planilha_Orçamentaria_183!D39</f>
        <v>4.6</v>
      </c>
      <c r="D114" s="478" t="s">
        <v>207</v>
      </c>
      <c r="E114" s="479"/>
      <c r="F114" s="448" t="str">
        <f>Planilha_Orçamentaria_183!F39</f>
        <v>Armadura em barra de aço CA-60 (A ou B) fyk = 600 MPa</v>
      </c>
      <c r="G114" s="448"/>
      <c r="H114" s="448"/>
    </row>
    <row r="115" spans="3:9" s="19" customFormat="1" x14ac:dyDescent="0.2">
      <c r="C115" s="14"/>
      <c r="D115" s="255" t="s">
        <v>205</v>
      </c>
      <c r="E115" s="229"/>
      <c r="F115" s="114"/>
      <c r="G115" s="113"/>
      <c r="H115" s="116"/>
    </row>
    <row r="116" spans="3:9" s="19" customFormat="1" x14ac:dyDescent="0.2">
      <c r="C116" s="14"/>
      <c r="D116" s="225" t="s">
        <v>208</v>
      </c>
      <c r="E116" s="125">
        <f>AÇO!C12</f>
        <v>6.3694400000000009</v>
      </c>
      <c r="F116" s="128" t="s">
        <v>204</v>
      </c>
      <c r="G116" s="113"/>
      <c r="H116" s="116"/>
    </row>
    <row r="117" spans="3:9" s="19" customFormat="1" x14ac:dyDescent="0.2">
      <c r="C117" s="14"/>
      <c r="D117" s="225"/>
      <c r="E117" s="226"/>
      <c r="F117" s="113"/>
      <c r="G117" s="113"/>
      <c r="H117" s="116"/>
    </row>
    <row r="118" spans="3:9" s="19" customFormat="1" ht="15.75" x14ac:dyDescent="0.25">
      <c r="C118" s="222" t="s">
        <v>2</v>
      </c>
      <c r="D118" s="445" t="s">
        <v>22</v>
      </c>
      <c r="E118" s="445"/>
      <c r="F118" s="445" t="s">
        <v>23</v>
      </c>
      <c r="G118" s="445"/>
      <c r="H118" s="445"/>
    </row>
    <row r="119" spans="3:9" x14ac:dyDescent="0.2">
      <c r="C119" s="224" t="str">
        <f>Planilha_Orçamentaria_183!D40</f>
        <v>4.7</v>
      </c>
      <c r="D119" s="459" t="str">
        <f>Planilha_Orçamentaria_183!E40</f>
        <v>1103090</v>
      </c>
      <c r="E119" s="460" t="str">
        <f>Planilha_Orçamentaria_183!F40</f>
        <v>Concreto preparado no local, fck = 20 MPa</v>
      </c>
      <c r="F119" s="448" t="str">
        <f>Planilha_Orçamentaria_183!F40</f>
        <v>Concreto preparado no local, fck = 20 MPa</v>
      </c>
      <c r="G119" s="448"/>
      <c r="H119" s="448"/>
      <c r="I119" s="4"/>
    </row>
    <row r="120" spans="3:9" s="19" customFormat="1" x14ac:dyDescent="0.2">
      <c r="C120" s="227" t="s">
        <v>209</v>
      </c>
      <c r="D120" s="255"/>
      <c r="E120" s="229"/>
      <c r="F120" s="114"/>
      <c r="G120" s="114"/>
      <c r="H120" s="115"/>
    </row>
    <row r="121" spans="3:9" s="19" customFormat="1" x14ac:dyDescent="0.2">
      <c r="C121" s="14" t="s">
        <v>210</v>
      </c>
      <c r="D121" s="259" t="s">
        <v>114</v>
      </c>
      <c r="E121" s="226"/>
      <c r="F121" s="260"/>
      <c r="G121" s="466" t="s">
        <v>211</v>
      </c>
      <c r="H121" s="467"/>
    </row>
    <row r="122" spans="3:9" s="19" customFormat="1" x14ac:dyDescent="0.2">
      <c r="C122" s="256">
        <v>0.2</v>
      </c>
      <c r="D122" s="258" t="s">
        <v>199</v>
      </c>
      <c r="E122" s="226"/>
      <c r="F122" s="113"/>
      <c r="G122" s="126">
        <f>ROUND((C122*3.14)/4,2)</f>
        <v>0.16</v>
      </c>
      <c r="H122" s="127" t="s">
        <v>109</v>
      </c>
    </row>
    <row r="123" spans="3:9" s="19" customFormat="1" x14ac:dyDescent="0.2">
      <c r="C123" s="14"/>
      <c r="D123" s="225"/>
      <c r="E123" s="226"/>
      <c r="F123" s="113"/>
      <c r="G123" s="113"/>
      <c r="H123" s="116"/>
    </row>
    <row r="124" spans="3:9" s="19" customFormat="1" x14ac:dyDescent="0.2">
      <c r="C124" s="122" t="s">
        <v>202</v>
      </c>
      <c r="D124" s="225"/>
      <c r="E124" s="226"/>
      <c r="F124" s="113"/>
      <c r="G124" s="113"/>
      <c r="H124" s="116"/>
    </row>
    <row r="125" spans="3:9" s="19" customFormat="1" x14ac:dyDescent="0.2">
      <c r="C125" s="14" t="s">
        <v>114</v>
      </c>
      <c r="D125" s="225" t="s">
        <v>152</v>
      </c>
      <c r="E125" s="226" t="s">
        <v>200</v>
      </c>
      <c r="F125" s="113"/>
      <c r="G125" s="466" t="s">
        <v>211</v>
      </c>
      <c r="H125" s="467"/>
    </row>
    <row r="126" spans="3:9" s="19" customFormat="1" x14ac:dyDescent="0.2">
      <c r="C126" s="256">
        <v>6</v>
      </c>
      <c r="D126" s="258">
        <v>0.2</v>
      </c>
      <c r="E126" s="258">
        <v>0.3</v>
      </c>
      <c r="F126" s="113"/>
      <c r="G126" s="126">
        <f>ROUND((E126*D126*C126),2)</f>
        <v>0.36</v>
      </c>
      <c r="H126" s="127" t="s">
        <v>109</v>
      </c>
    </row>
    <row r="127" spans="3:9" s="19" customFormat="1" x14ac:dyDescent="0.2">
      <c r="C127" s="14"/>
      <c r="D127" s="225"/>
      <c r="E127" s="226"/>
      <c r="F127" s="113"/>
      <c r="G127" s="113"/>
      <c r="H127" s="116"/>
    </row>
    <row r="128" spans="3:9" s="19" customFormat="1" x14ac:dyDescent="0.2">
      <c r="C128" s="14"/>
      <c r="D128" s="225"/>
      <c r="E128" s="226"/>
      <c r="F128" s="113"/>
      <c r="G128" s="466" t="s">
        <v>111</v>
      </c>
      <c r="H128" s="467"/>
    </row>
    <row r="129" spans="3:9" s="19" customFormat="1" x14ac:dyDescent="0.2">
      <c r="C129" s="117"/>
      <c r="D129" s="230"/>
      <c r="E129" s="231"/>
      <c r="F129" s="119"/>
      <c r="G129" s="212">
        <f>G126+G122</f>
        <v>0.52</v>
      </c>
      <c r="H129" s="213" t="s">
        <v>109</v>
      </c>
    </row>
    <row r="130" spans="3:9" s="19" customFormat="1" ht="15.75" x14ac:dyDescent="0.25">
      <c r="C130" s="223" t="s">
        <v>2</v>
      </c>
      <c r="D130" s="457" t="s">
        <v>22</v>
      </c>
      <c r="E130" s="457"/>
      <c r="F130" s="457" t="s">
        <v>23</v>
      </c>
      <c r="G130" s="457"/>
      <c r="H130" s="457"/>
    </row>
    <row r="131" spans="3:9" ht="30" customHeight="1" x14ac:dyDescent="0.2">
      <c r="C131" s="5" t="str">
        <f>Planilha_Orçamentaria_183!D41</f>
        <v>4.8</v>
      </c>
      <c r="D131" s="461" t="str">
        <f>Planilha_Orçamentaria_183!E41</f>
        <v>1116040</v>
      </c>
      <c r="E131" s="462" t="str">
        <f>Planilha_Orçamentaria_183!F41</f>
        <v>Lançamento e adensamento de concreto ou massa em fundação</v>
      </c>
      <c r="F131" s="447" t="str">
        <f>Planilha_Orçamentaria_183!F41</f>
        <v>Lançamento e adensamento de concreto ou massa em fundação</v>
      </c>
      <c r="G131" s="447"/>
      <c r="H131" s="447"/>
    </row>
    <row r="132" spans="3:9" s="19" customFormat="1" x14ac:dyDescent="0.2">
      <c r="C132" s="227" t="s">
        <v>209</v>
      </c>
      <c r="D132" s="255"/>
      <c r="E132" s="229"/>
      <c r="F132" s="263"/>
      <c r="G132" s="263"/>
      <c r="H132" s="264"/>
      <c r="I132" s="3"/>
    </row>
    <row r="133" spans="3:9" s="19" customFormat="1" x14ac:dyDescent="0.2">
      <c r="C133" s="14" t="s">
        <v>210</v>
      </c>
      <c r="D133" s="259" t="s">
        <v>114</v>
      </c>
      <c r="E133" s="226"/>
      <c r="F133" s="260"/>
      <c r="G133" s="466" t="s">
        <v>211</v>
      </c>
      <c r="H133" s="467"/>
      <c r="I133" s="3"/>
    </row>
    <row r="134" spans="3:9" s="19" customFormat="1" x14ac:dyDescent="0.2">
      <c r="C134" s="256">
        <v>0.2</v>
      </c>
      <c r="D134" s="258" t="s">
        <v>199</v>
      </c>
      <c r="E134" s="226"/>
      <c r="F134" s="261"/>
      <c r="G134" s="126">
        <f>ROUND((C134*3.14)/4,2)</f>
        <v>0.16</v>
      </c>
      <c r="H134" s="127" t="s">
        <v>109</v>
      </c>
      <c r="I134" s="3"/>
    </row>
    <row r="135" spans="3:9" s="19" customFormat="1" x14ac:dyDescent="0.2">
      <c r="C135" s="14"/>
      <c r="D135" s="225"/>
      <c r="E135" s="226"/>
      <c r="F135" s="261"/>
      <c r="G135" s="261"/>
      <c r="H135" s="262"/>
      <c r="I135" s="3"/>
    </row>
    <row r="136" spans="3:9" s="19" customFormat="1" x14ac:dyDescent="0.2">
      <c r="C136" s="122" t="s">
        <v>202</v>
      </c>
      <c r="D136" s="225"/>
      <c r="E136" s="226"/>
      <c r="F136" s="261"/>
      <c r="G136" s="261"/>
      <c r="H136" s="262"/>
      <c r="I136" s="3"/>
    </row>
    <row r="137" spans="3:9" s="19" customFormat="1" x14ac:dyDescent="0.2">
      <c r="C137" s="14" t="s">
        <v>114</v>
      </c>
      <c r="D137" s="225" t="s">
        <v>152</v>
      </c>
      <c r="E137" s="226" t="s">
        <v>200</v>
      </c>
      <c r="F137" s="261"/>
      <c r="G137" s="466" t="s">
        <v>211</v>
      </c>
      <c r="H137" s="467"/>
      <c r="I137" s="3"/>
    </row>
    <row r="138" spans="3:9" s="19" customFormat="1" x14ac:dyDescent="0.2">
      <c r="C138" s="256">
        <v>6</v>
      </c>
      <c r="D138" s="258">
        <v>0.2</v>
      </c>
      <c r="E138" s="258">
        <v>0.3</v>
      </c>
      <c r="F138" s="261"/>
      <c r="G138" s="126">
        <f>ROUND((E138*D138*C138),2)</f>
        <v>0.36</v>
      </c>
      <c r="H138" s="127" t="s">
        <v>109</v>
      </c>
      <c r="I138" s="3"/>
    </row>
    <row r="139" spans="3:9" s="19" customFormat="1" x14ac:dyDescent="0.2">
      <c r="C139" s="14"/>
      <c r="D139" s="225"/>
      <c r="E139" s="226"/>
      <c r="F139" s="261"/>
      <c r="G139" s="261"/>
      <c r="H139" s="262"/>
      <c r="I139" s="3"/>
    </row>
    <row r="140" spans="3:9" s="19" customFormat="1" x14ac:dyDescent="0.2">
      <c r="C140" s="14"/>
      <c r="D140" s="225"/>
      <c r="E140" s="226"/>
      <c r="F140" s="261"/>
      <c r="G140" s="466" t="s">
        <v>111</v>
      </c>
      <c r="H140" s="467"/>
      <c r="I140" s="3"/>
    </row>
    <row r="141" spans="3:9" s="19" customFormat="1" x14ac:dyDescent="0.2">
      <c r="C141" s="117"/>
      <c r="D141" s="230"/>
      <c r="E141" s="231"/>
      <c r="F141" s="119"/>
      <c r="G141" s="212">
        <f>G138+G134</f>
        <v>0.52</v>
      </c>
      <c r="H141" s="213" t="s">
        <v>109</v>
      </c>
      <c r="I141" s="3"/>
    </row>
    <row r="142" spans="3:9" s="19" customFormat="1" ht="15.75" x14ac:dyDescent="0.25">
      <c r="C142" s="223" t="s">
        <v>2</v>
      </c>
      <c r="D142" s="457" t="s">
        <v>22</v>
      </c>
      <c r="E142" s="457"/>
      <c r="F142" s="457" t="s">
        <v>23</v>
      </c>
      <c r="G142" s="457"/>
      <c r="H142" s="457"/>
      <c r="I142" s="3"/>
    </row>
    <row r="143" spans="3:9" ht="45" customHeight="1" x14ac:dyDescent="0.2">
      <c r="C143" s="5" t="str">
        <f>Planilha_Orçamentaria_183!D42</f>
        <v>4.9</v>
      </c>
      <c r="D143" s="461" t="str">
        <f>Planilha_Orçamentaria_183!E42</f>
        <v>-</v>
      </c>
      <c r="E143" s="462" t="str">
        <f>Planilha_Orçamentaria_183!F42</f>
        <v>Letreio em aço carbono</v>
      </c>
      <c r="F143" s="447" t="str">
        <f>Planilha_Orçamentaria_183!F42</f>
        <v>Letreio em aço carbono</v>
      </c>
      <c r="G143" s="447"/>
      <c r="H143" s="447"/>
    </row>
    <row r="144" spans="3:9" x14ac:dyDescent="0.2">
      <c r="C144" s="472" t="s">
        <v>220</v>
      </c>
      <c r="D144" s="473"/>
      <c r="E144" s="473"/>
      <c r="F144" s="473"/>
      <c r="G144" s="473"/>
      <c r="H144" s="474"/>
    </row>
    <row r="145" spans="3:9" x14ac:dyDescent="0.2">
      <c r="C145" s="475"/>
      <c r="D145" s="476"/>
      <c r="E145" s="476"/>
      <c r="F145" s="476"/>
      <c r="G145" s="476"/>
      <c r="H145" s="477"/>
    </row>
    <row r="146" spans="3:9" x14ac:dyDescent="0.2">
      <c r="C146" s="233"/>
      <c r="D146" s="135"/>
      <c r="E146" s="135"/>
      <c r="F146" s="135"/>
      <c r="G146" s="135"/>
      <c r="H146" s="146"/>
    </row>
    <row r="147" spans="3:9" s="19" customFormat="1" x14ac:dyDescent="0.2">
      <c r="C147" s="137"/>
      <c r="D147" s="136"/>
      <c r="E147" s="136"/>
      <c r="F147" s="136"/>
      <c r="G147" s="136"/>
      <c r="H147" s="234"/>
      <c r="I147" s="3"/>
    </row>
    <row r="148" spans="3:9" s="19" customFormat="1" x14ac:dyDescent="0.2">
      <c r="C148" s="135"/>
      <c r="D148" s="135"/>
      <c r="E148" s="135"/>
      <c r="F148" s="135"/>
      <c r="G148" s="135"/>
      <c r="H148" s="135"/>
      <c r="I148" s="3"/>
    </row>
    <row r="149" spans="3:9" s="19" customFormat="1" x14ac:dyDescent="0.2">
      <c r="C149" s="135"/>
      <c r="D149" s="135"/>
      <c r="E149" s="135"/>
      <c r="F149" s="135"/>
      <c r="G149" s="135"/>
      <c r="H149" s="135"/>
      <c r="I149" s="3"/>
    </row>
    <row r="151" spans="3:9" x14ac:dyDescent="0.2">
      <c r="C151" s="436" t="s">
        <v>33</v>
      </c>
      <c r="D151" s="436"/>
      <c r="E151" s="436"/>
    </row>
    <row r="152" spans="3:9" x14ac:dyDescent="0.2">
      <c r="C152" s="436" t="s">
        <v>31</v>
      </c>
      <c r="D152" s="436"/>
      <c r="E152" s="436"/>
    </row>
    <row r="153" spans="3:9" x14ac:dyDescent="0.2">
      <c r="C153" s="266" t="s">
        <v>32</v>
      </c>
      <c r="D153" s="266"/>
      <c r="E153" s="266"/>
    </row>
    <row r="154" spans="3:9" x14ac:dyDescent="0.2">
      <c r="C154" s="266" t="s">
        <v>135</v>
      </c>
      <c r="D154" s="266"/>
      <c r="E154" s="82"/>
    </row>
  </sheetData>
  <mergeCells count="83">
    <mergeCell ref="G133:H133"/>
    <mergeCell ref="D109:E109"/>
    <mergeCell ref="C8:H9"/>
    <mergeCell ref="C151:E151"/>
    <mergeCell ref="C152:E152"/>
    <mergeCell ref="C144:H145"/>
    <mergeCell ref="D114:E114"/>
    <mergeCell ref="F114:H114"/>
    <mergeCell ref="G121:H121"/>
    <mergeCell ref="G125:H125"/>
    <mergeCell ref="D118:E118"/>
    <mergeCell ref="F118:H118"/>
    <mergeCell ref="D130:E130"/>
    <mergeCell ref="F130:H130"/>
    <mergeCell ref="D142:E142"/>
    <mergeCell ref="F142:H142"/>
    <mergeCell ref="G128:H128"/>
    <mergeCell ref="F108:H108"/>
    <mergeCell ref="G137:H137"/>
    <mergeCell ref="G140:H140"/>
    <mergeCell ref="D143:E143"/>
    <mergeCell ref="F95:G95"/>
    <mergeCell ref="F100:G100"/>
    <mergeCell ref="F105:H105"/>
    <mergeCell ref="D113:E113"/>
    <mergeCell ref="F113:H113"/>
    <mergeCell ref="D98:E98"/>
    <mergeCell ref="F98:H98"/>
    <mergeCell ref="F143:H143"/>
    <mergeCell ref="D99:E99"/>
    <mergeCell ref="F99:H99"/>
    <mergeCell ref="D104:E104"/>
    <mergeCell ref="F104:H104"/>
    <mergeCell ref="D119:E119"/>
    <mergeCell ref="F119:H119"/>
    <mergeCell ref="D131:E131"/>
    <mergeCell ref="F131:H131"/>
    <mergeCell ref="D88:E88"/>
    <mergeCell ref="F88:H88"/>
    <mergeCell ref="D89:E89"/>
    <mergeCell ref="F89:H89"/>
    <mergeCell ref="D94:E94"/>
    <mergeCell ref="F94:H94"/>
    <mergeCell ref="D93:E93"/>
    <mergeCell ref="F93:H93"/>
    <mergeCell ref="F109:H109"/>
    <mergeCell ref="D103:E103"/>
    <mergeCell ref="F103:H103"/>
    <mergeCell ref="D108:E108"/>
    <mergeCell ref="C6:H6"/>
    <mergeCell ref="D38:E38"/>
    <mergeCell ref="F38:H38"/>
    <mergeCell ref="D67:E67"/>
    <mergeCell ref="F67:H67"/>
    <mergeCell ref="D48:E48"/>
    <mergeCell ref="F48:H48"/>
    <mergeCell ref="D49:E49"/>
    <mergeCell ref="D39:E39"/>
    <mergeCell ref="F39:H39"/>
    <mergeCell ref="D18:E18"/>
    <mergeCell ref="F18:H18"/>
    <mergeCell ref="D27:E27"/>
    <mergeCell ref="F27:H27"/>
    <mergeCell ref="D28:E28"/>
    <mergeCell ref="F28:H28"/>
    <mergeCell ref="D12:E12"/>
    <mergeCell ref="F12:H12"/>
    <mergeCell ref="D13:E13"/>
    <mergeCell ref="F13:H13"/>
    <mergeCell ref="D17:E17"/>
    <mergeCell ref="F17:H17"/>
    <mergeCell ref="F30:H32"/>
    <mergeCell ref="D80:E80"/>
    <mergeCell ref="F80:H80"/>
    <mergeCell ref="D81:E81"/>
    <mergeCell ref="F81:H81"/>
    <mergeCell ref="D68:E68"/>
    <mergeCell ref="F68:H68"/>
    <mergeCell ref="F49:H49"/>
    <mergeCell ref="D58:E58"/>
    <mergeCell ref="F58:H58"/>
    <mergeCell ref="D59:E59"/>
    <mergeCell ref="F59:H59"/>
  </mergeCells>
  <phoneticPr fontId="7" type="noConversion"/>
  <printOptions horizontalCentered="1"/>
  <pageMargins left="0.98425196850393704" right="0.98425196850393704" top="1.7716535433070866" bottom="0.98425196850393704" header="0.31496062992125984" footer="0.31496062992125984"/>
  <pageSetup paperSize="9" scale="90" fitToHeight="0" orientation="portrait" verticalDpi="0" r:id="rId1"/>
  <rowBreaks count="3" manualBreakCount="3">
    <brk id="37" min="2" max="7" man="1"/>
    <brk id="79" min="2" max="7" man="1"/>
    <brk id="117" min="2" max="7" man="1"/>
  </rowBreaks>
  <ignoredErrors>
    <ignoredError sqref="G71 G21" formula="1"/>
    <ignoredError sqref="D91 D114 D1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6A2B-389A-43CA-A751-48F95FDFC6B1}">
  <dimension ref="C6:E63"/>
  <sheetViews>
    <sheetView showGridLines="0" zoomScale="130" zoomScaleNormal="130" workbookViewId="0">
      <selection activeCell="E65" sqref="E65"/>
    </sheetView>
  </sheetViews>
  <sheetFormatPr defaultRowHeight="15" x14ac:dyDescent="0.25"/>
  <cols>
    <col min="1" max="1" width="13.85546875" customWidth="1"/>
    <col min="2" max="2" width="5" customWidth="1"/>
    <col min="3" max="3" width="61.7109375" bestFit="1" customWidth="1"/>
    <col min="5" max="5" width="3.28515625" bestFit="1" customWidth="1"/>
    <col min="6" max="6" width="5.7109375" customWidth="1"/>
  </cols>
  <sheetData>
    <row r="6" spans="3:5" x14ac:dyDescent="0.25">
      <c r="C6" s="480" t="s">
        <v>137</v>
      </c>
      <c r="D6" s="481"/>
      <c r="E6" s="481"/>
    </row>
    <row r="7" spans="3:5" x14ac:dyDescent="0.25">
      <c r="C7" s="215" t="s">
        <v>138</v>
      </c>
      <c r="D7" s="215">
        <f>'Memorial de calculo'!G20</f>
        <v>438.34</v>
      </c>
      <c r="E7" s="217" t="s">
        <v>105</v>
      </c>
    </row>
    <row r="8" spans="3:5" x14ac:dyDescent="0.25">
      <c r="C8" s="215" t="s">
        <v>145</v>
      </c>
      <c r="D8" s="216">
        <f>'Memorial de calculo'!D30</f>
        <v>14.4</v>
      </c>
      <c r="E8" s="217" t="s">
        <v>106</v>
      </c>
    </row>
    <row r="9" spans="3:5" x14ac:dyDescent="0.25">
      <c r="C9" s="215" t="s">
        <v>94</v>
      </c>
      <c r="D9" s="218">
        <f>'Memorial de calculo'!G41*'Memorial de calculo'!G46</f>
        <v>0.5152000000000001</v>
      </c>
      <c r="E9" s="217" t="s">
        <v>109</v>
      </c>
    </row>
    <row r="10" spans="3:5" x14ac:dyDescent="0.25">
      <c r="C10" s="215" t="s">
        <v>89</v>
      </c>
      <c r="D10" s="219">
        <f>'Memorial de calculo'!D51</f>
        <v>2</v>
      </c>
      <c r="E10" s="220" t="s">
        <v>106</v>
      </c>
    </row>
    <row r="11" spans="3:5" x14ac:dyDescent="0.25">
      <c r="C11" s="215" t="s">
        <v>119</v>
      </c>
      <c r="D11" s="216">
        <f>'Memorial de calculo'!G61</f>
        <v>45.03</v>
      </c>
      <c r="E11" s="217" t="s">
        <v>105</v>
      </c>
    </row>
    <row r="12" spans="3:5" x14ac:dyDescent="0.25">
      <c r="C12" s="215" t="s">
        <v>139</v>
      </c>
      <c r="D12" s="216">
        <f>'Memorial de calculo'!G70-'Memorial de calculo'!G61-'Memorial de calculo'!G41</f>
        <v>385.94999999999993</v>
      </c>
      <c r="E12" s="217" t="s">
        <v>105</v>
      </c>
    </row>
    <row r="13" spans="3:5" x14ac:dyDescent="0.25">
      <c r="C13" s="215" t="s">
        <v>84</v>
      </c>
      <c r="D13" s="216">
        <f>'Memorial de calculo'!G83</f>
        <v>52.422499999999999</v>
      </c>
      <c r="E13" s="217" t="s">
        <v>105</v>
      </c>
    </row>
    <row r="16" spans="3:5" x14ac:dyDescent="0.25">
      <c r="C16" s="480" t="s">
        <v>140</v>
      </c>
      <c r="D16" s="481"/>
      <c r="E16" s="481"/>
    </row>
    <row r="17" spans="3:5" x14ac:dyDescent="0.25">
      <c r="C17" s="215" t="s">
        <v>138</v>
      </c>
      <c r="D17" s="215">
        <f>'Memorial de calculo'!G22</f>
        <v>490.36</v>
      </c>
      <c r="E17" s="217" t="s">
        <v>105</v>
      </c>
    </row>
    <row r="18" spans="3:5" x14ac:dyDescent="0.25">
      <c r="C18" s="215" t="s">
        <v>145</v>
      </c>
      <c r="D18" s="216">
        <f>'Memorial de calculo'!D32</f>
        <v>12.4</v>
      </c>
      <c r="E18" s="217" t="s">
        <v>106</v>
      </c>
    </row>
    <row r="19" spans="3:5" x14ac:dyDescent="0.25">
      <c r="C19" s="215" t="s">
        <v>94</v>
      </c>
      <c r="D19" s="218">
        <f>'Memorial de calculo'!G42*'Memorial de calculo'!G46</f>
        <v>0.5152000000000001</v>
      </c>
      <c r="E19" s="217" t="s">
        <v>109</v>
      </c>
    </row>
    <row r="20" spans="3:5" x14ac:dyDescent="0.25">
      <c r="C20" s="215" t="s">
        <v>89</v>
      </c>
      <c r="D20" s="216">
        <f>'Memorial de calculo'!D53</f>
        <v>0</v>
      </c>
      <c r="E20" s="217" t="s">
        <v>106</v>
      </c>
    </row>
    <row r="21" spans="3:5" x14ac:dyDescent="0.25">
      <c r="C21" s="215" t="s">
        <v>119</v>
      </c>
      <c r="D21" s="216">
        <f>'Memorial de calculo'!G62</f>
        <v>50.25</v>
      </c>
      <c r="E21" s="217" t="s">
        <v>105</v>
      </c>
    </row>
    <row r="22" spans="3:5" x14ac:dyDescent="0.25">
      <c r="C22" s="215" t="s">
        <v>139</v>
      </c>
      <c r="D22" s="216">
        <f>'Memorial de calculo'!G72-'Memorial de calculo'!G62-'Memorial de calculo'!G42</f>
        <v>432.75</v>
      </c>
      <c r="E22" s="217" t="s">
        <v>105</v>
      </c>
    </row>
    <row r="23" spans="3:5" x14ac:dyDescent="0.25">
      <c r="C23" s="215" t="s">
        <v>84</v>
      </c>
      <c r="D23" s="216">
        <f>'Memorial de calculo'!G84</f>
        <v>58.782500000000006</v>
      </c>
      <c r="E23" s="217" t="s">
        <v>105</v>
      </c>
    </row>
    <row r="26" spans="3:5" x14ac:dyDescent="0.25">
      <c r="C26" s="480" t="s">
        <v>141</v>
      </c>
      <c r="D26" s="481"/>
      <c r="E26" s="481"/>
    </row>
    <row r="27" spans="3:5" x14ac:dyDescent="0.25">
      <c r="C27" s="215" t="s">
        <v>138</v>
      </c>
      <c r="D27" s="215">
        <f>'Memorial de calculo'!G23</f>
        <v>987.68000000000006</v>
      </c>
      <c r="E27" s="217" t="s">
        <v>105</v>
      </c>
    </row>
    <row r="28" spans="3:5" x14ac:dyDescent="0.25">
      <c r="C28" s="215" t="s">
        <v>145</v>
      </c>
      <c r="D28" s="216">
        <f>'Memorial de calculo'!D33</f>
        <v>23.4</v>
      </c>
      <c r="E28" s="217" t="s">
        <v>106</v>
      </c>
    </row>
    <row r="29" spans="3:5" x14ac:dyDescent="0.25">
      <c r="C29" s="215" t="s">
        <v>94</v>
      </c>
      <c r="D29" s="218">
        <f>'Memorial de calculo'!G43*'Memorial de calculo'!G46</f>
        <v>0.5152000000000001</v>
      </c>
      <c r="E29" s="217" t="s">
        <v>109</v>
      </c>
    </row>
    <row r="30" spans="3:5" x14ac:dyDescent="0.25">
      <c r="C30" s="215" t="s">
        <v>89</v>
      </c>
      <c r="D30" s="216">
        <f>'Memorial de calculo'!D54</f>
        <v>11</v>
      </c>
      <c r="E30" s="217" t="s">
        <v>106</v>
      </c>
    </row>
    <row r="31" spans="3:5" x14ac:dyDescent="0.25">
      <c r="C31" s="215" t="s">
        <v>119</v>
      </c>
      <c r="D31" s="216">
        <f>'Memorial de calculo'!G63</f>
        <v>99.97</v>
      </c>
      <c r="E31" s="217" t="s">
        <v>105</v>
      </c>
    </row>
    <row r="32" spans="3:5" x14ac:dyDescent="0.25">
      <c r="C32" s="215" t="s">
        <v>139</v>
      </c>
      <c r="D32" s="216">
        <f>'Memorial de calculo'!G73-'Memorial de calculo'!G63-'Memorial de calculo'!G43</f>
        <v>880.35</v>
      </c>
      <c r="E32" s="217" t="s">
        <v>105</v>
      </c>
    </row>
    <row r="33" spans="3:5" x14ac:dyDescent="0.25">
      <c r="C33" s="215" t="s">
        <v>84</v>
      </c>
      <c r="D33" s="216">
        <f>'Memorial de calculo'!G85</f>
        <v>75.660000000000011</v>
      </c>
      <c r="E33" s="217" t="s">
        <v>105</v>
      </c>
    </row>
    <row r="36" spans="3:5" x14ac:dyDescent="0.25">
      <c r="C36" s="480" t="s">
        <v>146</v>
      </c>
      <c r="D36" s="481"/>
      <c r="E36" s="481"/>
    </row>
    <row r="37" spans="3:5" x14ac:dyDescent="0.25">
      <c r="C37" s="215" t="s">
        <v>138</v>
      </c>
      <c r="D37" s="215">
        <f>'Memorial de calculo'!G24</f>
        <v>482.34000000000003</v>
      </c>
      <c r="E37" s="217" t="s">
        <v>105</v>
      </c>
    </row>
    <row r="38" spans="3:5" x14ac:dyDescent="0.25">
      <c r="C38" s="215" t="s">
        <v>145</v>
      </c>
      <c r="D38" s="216">
        <f>'Memorial de calculo'!D34</f>
        <v>25.4</v>
      </c>
      <c r="E38" s="217" t="s">
        <v>106</v>
      </c>
    </row>
    <row r="39" spans="3:5" x14ac:dyDescent="0.25">
      <c r="C39" s="215" t="s">
        <v>94</v>
      </c>
      <c r="D39" s="218">
        <f>'Memorial de calculo'!G44*'Memorial de calculo'!G46</f>
        <v>0.5152000000000001</v>
      </c>
      <c r="E39" s="217" t="s">
        <v>109</v>
      </c>
    </row>
    <row r="40" spans="3:5" x14ac:dyDescent="0.25">
      <c r="C40" s="215" t="s">
        <v>89</v>
      </c>
      <c r="D40" s="216">
        <f>'Memorial de calculo'!D55</f>
        <v>13</v>
      </c>
      <c r="E40" s="217" t="s">
        <v>106</v>
      </c>
    </row>
    <row r="41" spans="3:5" x14ac:dyDescent="0.25">
      <c r="C41" s="215" t="s">
        <v>119</v>
      </c>
      <c r="D41" s="216">
        <f>'Memorial de calculo'!G64</f>
        <v>49.51</v>
      </c>
      <c r="E41" s="217" t="s">
        <v>105</v>
      </c>
    </row>
    <row r="42" spans="3:5" x14ac:dyDescent="0.25">
      <c r="C42" s="215" t="s">
        <v>139</v>
      </c>
      <c r="D42" s="216">
        <f>'Memorial de calculo'!G74-'Memorial de calculo'!G64-'Memorial de calculo'!G44</f>
        <v>425.47</v>
      </c>
      <c r="E42" s="217" t="s">
        <v>105</v>
      </c>
    </row>
    <row r="43" spans="3:5" x14ac:dyDescent="0.25">
      <c r="C43" s="215" t="s">
        <v>84</v>
      </c>
      <c r="D43" s="216">
        <f>'Memorial de calculo'!G86</f>
        <v>34.32</v>
      </c>
      <c r="E43" s="217" t="s">
        <v>105</v>
      </c>
    </row>
    <row r="46" spans="3:5" x14ac:dyDescent="0.25">
      <c r="C46" s="480" t="s">
        <v>147</v>
      </c>
      <c r="D46" s="481"/>
      <c r="E46" s="481"/>
    </row>
    <row r="47" spans="3:5" x14ac:dyDescent="0.25">
      <c r="C47" s="215" t="s">
        <v>138</v>
      </c>
      <c r="D47" s="215">
        <f>'Memorial de calculo'!G21</f>
        <v>53.97</v>
      </c>
      <c r="E47" s="217" t="s">
        <v>105</v>
      </c>
    </row>
    <row r="48" spans="3:5" x14ac:dyDescent="0.25">
      <c r="C48" s="215" t="s">
        <v>145</v>
      </c>
      <c r="D48" s="216">
        <f>'Memorial de calculo'!D31</f>
        <v>2</v>
      </c>
      <c r="E48" s="217" t="s">
        <v>106</v>
      </c>
    </row>
    <row r="49" spans="3:5" x14ac:dyDescent="0.25">
      <c r="C49" s="215" t="s">
        <v>94</v>
      </c>
      <c r="D49" s="216">
        <v>0</v>
      </c>
      <c r="E49" s="217" t="s">
        <v>109</v>
      </c>
    </row>
    <row r="50" spans="3:5" x14ac:dyDescent="0.25">
      <c r="C50" s="215" t="s">
        <v>89</v>
      </c>
      <c r="D50" s="216">
        <f>'Memorial de calculo'!D52</f>
        <v>2</v>
      </c>
      <c r="E50" s="217" t="s">
        <v>106</v>
      </c>
    </row>
    <row r="51" spans="3:5" x14ac:dyDescent="0.25">
      <c r="C51" s="215" t="s">
        <v>119</v>
      </c>
      <c r="D51" s="216">
        <v>0</v>
      </c>
      <c r="E51" s="217" t="s">
        <v>105</v>
      </c>
    </row>
    <row r="52" spans="3:5" x14ac:dyDescent="0.25">
      <c r="C52" s="215" t="s">
        <v>139</v>
      </c>
      <c r="D52" s="216">
        <f>'Memorial de calculo'!G71</f>
        <v>53.97</v>
      </c>
      <c r="E52" s="217" t="s">
        <v>105</v>
      </c>
    </row>
    <row r="53" spans="3:5" x14ac:dyDescent="0.25">
      <c r="C53" s="215" t="s">
        <v>84</v>
      </c>
      <c r="D53" s="216">
        <v>0</v>
      </c>
      <c r="E53" s="217" t="s">
        <v>105</v>
      </c>
    </row>
    <row r="56" spans="3:5" x14ac:dyDescent="0.25">
      <c r="C56" s="480" t="s">
        <v>151</v>
      </c>
      <c r="D56" s="481"/>
      <c r="E56" s="481"/>
    </row>
    <row r="57" spans="3:5" x14ac:dyDescent="0.25">
      <c r="C57" s="215" t="s">
        <v>138</v>
      </c>
      <c r="D57" s="216">
        <f>D7+D17+D27+D37+D47</f>
        <v>2452.69</v>
      </c>
      <c r="E57" s="217" t="s">
        <v>105</v>
      </c>
    </row>
    <row r="58" spans="3:5" x14ac:dyDescent="0.25">
      <c r="C58" s="215" t="s">
        <v>145</v>
      </c>
      <c r="D58" s="216">
        <f>D8+D18+D28+D38+D48</f>
        <v>77.599999999999994</v>
      </c>
      <c r="E58" s="217" t="s">
        <v>106</v>
      </c>
    </row>
    <row r="59" spans="3:5" x14ac:dyDescent="0.25">
      <c r="C59" s="215" t="s">
        <v>94</v>
      </c>
      <c r="D59" s="216">
        <f t="shared" ref="D59:D62" si="0">D9+D19+D29+D39+D49</f>
        <v>2.0608000000000004</v>
      </c>
      <c r="E59" s="217" t="s">
        <v>109</v>
      </c>
    </row>
    <row r="60" spans="3:5" x14ac:dyDescent="0.25">
      <c r="C60" s="215" t="s">
        <v>89</v>
      </c>
      <c r="D60" s="216">
        <f t="shared" si="0"/>
        <v>28</v>
      </c>
      <c r="E60" s="217" t="s">
        <v>106</v>
      </c>
    </row>
    <row r="61" spans="3:5" x14ac:dyDescent="0.25">
      <c r="C61" s="215" t="s">
        <v>119</v>
      </c>
      <c r="D61" s="216">
        <f t="shared" si="0"/>
        <v>244.76</v>
      </c>
      <c r="E61" s="217" t="s">
        <v>105</v>
      </c>
    </row>
    <row r="62" spans="3:5" x14ac:dyDescent="0.25">
      <c r="C62" s="215" t="s">
        <v>139</v>
      </c>
      <c r="D62" s="216">
        <f t="shared" si="0"/>
        <v>2178.4899999999998</v>
      </c>
      <c r="E62" s="217" t="s">
        <v>105</v>
      </c>
    </row>
    <row r="63" spans="3:5" x14ac:dyDescent="0.25">
      <c r="C63" s="215" t="s">
        <v>84</v>
      </c>
      <c r="D63" s="216">
        <f>ROUNDDOWN(D13+D23+D33+D43+D53,2)</f>
        <v>221.18</v>
      </c>
      <c r="E63" s="217" t="s">
        <v>105</v>
      </c>
    </row>
  </sheetData>
  <mergeCells count="6">
    <mergeCell ref="C56:E56"/>
    <mergeCell ref="C36:E36"/>
    <mergeCell ref="C26:E26"/>
    <mergeCell ref="C16:E16"/>
    <mergeCell ref="C6:E6"/>
    <mergeCell ref="C46:E4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9F7E3-5226-4CEA-B1C6-ADF9ED7E6CA3}">
  <dimension ref="B4:O23"/>
  <sheetViews>
    <sheetView showGridLines="0" workbookViewId="0">
      <selection activeCell="B4" sqref="B4:E12"/>
    </sheetView>
  </sheetViews>
  <sheetFormatPr defaultRowHeight="15" x14ac:dyDescent="0.25"/>
  <cols>
    <col min="8" max="8" width="12.28515625" customWidth="1"/>
    <col min="14" max="14" width="13.85546875" bestFit="1" customWidth="1"/>
  </cols>
  <sheetData>
    <row r="4" spans="2:15" x14ac:dyDescent="0.25">
      <c r="B4" s="490" t="s">
        <v>188</v>
      </c>
      <c r="C4" s="491"/>
      <c r="D4" s="491"/>
      <c r="E4" s="492"/>
      <c r="H4" s="490" t="s">
        <v>189</v>
      </c>
      <c r="I4" s="491"/>
      <c r="J4" s="491"/>
      <c r="K4" s="492"/>
      <c r="N4" s="244" t="s">
        <v>181</v>
      </c>
      <c r="O4" s="245" t="s">
        <v>191</v>
      </c>
    </row>
    <row r="5" spans="2:15" x14ac:dyDescent="0.25">
      <c r="B5" s="493"/>
      <c r="C5" s="494"/>
      <c r="D5" s="494"/>
      <c r="E5" s="495"/>
      <c r="H5" s="493"/>
      <c r="I5" s="494"/>
      <c r="J5" s="494"/>
      <c r="K5" s="495"/>
      <c r="N5" s="246">
        <v>5</v>
      </c>
      <c r="O5" s="220">
        <v>0.154</v>
      </c>
    </row>
    <row r="6" spans="2:15" x14ac:dyDescent="0.25">
      <c r="B6" s="496" t="s">
        <v>181</v>
      </c>
      <c r="C6" s="498" t="s">
        <v>182</v>
      </c>
      <c r="D6" s="498" t="s">
        <v>183</v>
      </c>
      <c r="E6" s="498" t="s">
        <v>184</v>
      </c>
      <c r="F6" s="235"/>
      <c r="G6" s="235"/>
      <c r="H6" s="500" t="s">
        <v>181</v>
      </c>
      <c r="I6" s="501" t="s">
        <v>190</v>
      </c>
      <c r="J6" s="502" t="s">
        <v>183</v>
      </c>
      <c r="K6" s="502" t="s">
        <v>184</v>
      </c>
      <c r="N6" s="246">
        <v>6.3</v>
      </c>
      <c r="O6" s="220">
        <v>0.245</v>
      </c>
    </row>
    <row r="7" spans="2:15" x14ac:dyDescent="0.25">
      <c r="B7" s="497"/>
      <c r="C7" s="499"/>
      <c r="D7" s="499"/>
      <c r="E7" s="499"/>
      <c r="H7" s="496"/>
      <c r="I7" s="501"/>
      <c r="J7" s="502"/>
      <c r="K7" s="502"/>
      <c r="N7" s="246">
        <v>8</v>
      </c>
      <c r="O7" s="220">
        <v>0.39500000000000002</v>
      </c>
    </row>
    <row r="8" spans="2:15" x14ac:dyDescent="0.25">
      <c r="B8" s="236" t="s">
        <v>185</v>
      </c>
      <c r="C8" s="237">
        <v>8</v>
      </c>
      <c r="D8" s="237">
        <v>24</v>
      </c>
      <c r="E8" s="237">
        <f>D8*O7*1.1</f>
        <v>10.428000000000001</v>
      </c>
      <c r="H8" s="238" t="s">
        <v>185</v>
      </c>
      <c r="I8" s="241">
        <v>8</v>
      </c>
      <c r="J8" s="242">
        <f>D8</f>
        <v>24</v>
      </c>
      <c r="K8" s="239">
        <f>J8*O7*1.1</f>
        <v>10.428000000000001</v>
      </c>
      <c r="N8" s="246">
        <v>10</v>
      </c>
      <c r="O8" s="220">
        <v>0.61699999999999999</v>
      </c>
    </row>
    <row r="9" spans="2:15" x14ac:dyDescent="0.25">
      <c r="B9" s="238" t="s">
        <v>186</v>
      </c>
      <c r="C9" s="239">
        <v>5</v>
      </c>
      <c r="D9" s="239">
        <v>37.6</v>
      </c>
      <c r="E9" s="239">
        <f>D9*O5*1.1</f>
        <v>6.3694400000000009</v>
      </c>
      <c r="H9" s="238" t="s">
        <v>186</v>
      </c>
      <c r="I9" s="241">
        <v>5</v>
      </c>
      <c r="J9" s="242">
        <f>D9</f>
        <v>37.6</v>
      </c>
      <c r="K9" s="239">
        <f>J9*O5*1.1</f>
        <v>6.3694400000000009</v>
      </c>
      <c r="N9" s="246">
        <v>12.5</v>
      </c>
      <c r="O9" s="220">
        <v>0.96299999999999997</v>
      </c>
    </row>
    <row r="10" spans="2:15" x14ac:dyDescent="0.25">
      <c r="B10" s="482" t="s">
        <v>187</v>
      </c>
      <c r="C10" s="483"/>
      <c r="D10" s="484" t="s">
        <v>212</v>
      </c>
      <c r="E10" s="485"/>
      <c r="H10" s="482" t="s">
        <v>187</v>
      </c>
      <c r="I10" s="483"/>
      <c r="J10" s="484" t="s">
        <v>213</v>
      </c>
      <c r="K10" s="485"/>
      <c r="N10" s="247" t="s">
        <v>192</v>
      </c>
      <c r="O10" s="248">
        <v>1.8009999999999999</v>
      </c>
    </row>
    <row r="11" spans="2:15" x14ac:dyDescent="0.25">
      <c r="B11" s="240" t="s">
        <v>185</v>
      </c>
      <c r="C11" s="241">
        <f>E8</f>
        <v>10.428000000000001</v>
      </c>
      <c r="D11" s="486"/>
      <c r="E11" s="487"/>
      <c r="H11" s="240" t="s">
        <v>185</v>
      </c>
      <c r="I11" s="243">
        <f>SUM(K8:K8)</f>
        <v>10.428000000000001</v>
      </c>
      <c r="J11" s="486"/>
      <c r="K11" s="487"/>
      <c r="N11" s="247" t="s">
        <v>193</v>
      </c>
      <c r="O11" s="220">
        <v>0.73499999999999999</v>
      </c>
    </row>
    <row r="12" spans="2:15" ht="14.45" customHeight="1" x14ac:dyDescent="0.25">
      <c r="B12" s="251" t="s">
        <v>186</v>
      </c>
      <c r="C12" s="253">
        <f>E9</f>
        <v>6.3694400000000009</v>
      </c>
      <c r="D12" s="488"/>
      <c r="E12" s="489"/>
      <c r="H12" s="251" t="s">
        <v>186</v>
      </c>
      <c r="I12" s="252">
        <f>K9</f>
        <v>6.3694400000000009</v>
      </c>
      <c r="J12" s="488"/>
      <c r="K12" s="489"/>
      <c r="N12" s="249" t="s">
        <v>194</v>
      </c>
      <c r="O12" s="250">
        <v>5.82</v>
      </c>
    </row>
    <row r="17" ht="14.45" customHeight="1" x14ac:dyDescent="0.25"/>
    <row r="21" ht="14.45" customHeight="1" x14ac:dyDescent="0.25"/>
    <row r="23" ht="14.45" customHeight="1" x14ac:dyDescent="0.25"/>
  </sheetData>
  <mergeCells count="14">
    <mergeCell ref="J10:K12"/>
    <mergeCell ref="H10:I10"/>
    <mergeCell ref="H4:K5"/>
    <mergeCell ref="H6:H7"/>
    <mergeCell ref="I6:I7"/>
    <mergeCell ref="J6:J7"/>
    <mergeCell ref="K6:K7"/>
    <mergeCell ref="B10:C10"/>
    <mergeCell ref="D10:E12"/>
    <mergeCell ref="B4:E5"/>
    <mergeCell ref="B6:B7"/>
    <mergeCell ref="C6:C7"/>
    <mergeCell ref="D6:D7"/>
    <mergeCell ref="E6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Planilha_Orçamentaria_183</vt:lpstr>
      <vt:lpstr>Cronograma fisico financeiro</vt:lpstr>
      <vt:lpstr>Cronograma de desembolso</vt:lpstr>
      <vt:lpstr>Cron, de desembolso</vt:lpstr>
      <vt:lpstr>Memorial de calculo</vt:lpstr>
      <vt:lpstr>TRECHOS</vt:lpstr>
      <vt:lpstr>AÇO</vt:lpstr>
      <vt:lpstr>'Cron, de desembolso'!Area_de_impressao</vt:lpstr>
      <vt:lpstr>'Cronograma de desembolso'!Area_de_impressao</vt:lpstr>
      <vt:lpstr>'Cronograma fisico financeiro'!Area_de_impressao</vt:lpstr>
      <vt:lpstr>'Memorial de calculo'!Area_de_impressao</vt:lpstr>
      <vt:lpstr>Planilha_Orçamentaria_183!Area_de_impressao</vt:lpstr>
      <vt:lpstr>TRECHOS!Area_de_impressao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lazaro</dc:creator>
  <cp:lastModifiedBy>Licitacao01</cp:lastModifiedBy>
  <cp:lastPrinted>2022-05-04T13:56:06Z</cp:lastPrinted>
  <dcterms:created xsi:type="dcterms:W3CDTF">2021-10-01T00:39:24Z</dcterms:created>
  <dcterms:modified xsi:type="dcterms:W3CDTF">2022-05-04T20:20:51Z</dcterms:modified>
</cp:coreProperties>
</file>