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LICITACAO_2021_2022\LICITACAO_ANO_2022\CONVÊNIOS\SINALIZAÇÃO TURISTICA\"/>
    </mc:Choice>
  </mc:AlternateContent>
  <xr:revisionPtr revIDLastSave="0" documentId="13_ncr:1_{4ABE0DAF-8A66-4D9F-8A82-F7A012C8BD08}" xr6:coauthVersionLast="47" xr6:coauthVersionMax="47" xr10:uidLastSave="{00000000-0000-0000-0000-000000000000}"/>
  <bookViews>
    <workbookView xWindow="-120" yWindow="-120" windowWidth="20730" windowHeight="11040" tabRatio="754" xr2:uid="{1C5B654B-5B75-4EE6-A8BF-A5FABB0A8E25}"/>
  </bookViews>
  <sheets>
    <sheet name="Planilha_Orçamentaria_183" sheetId="1" r:id="rId1"/>
    <sheet name="Cronograma fisico financeiro" sheetId="4" r:id="rId2"/>
    <sheet name="Cron, de desembolso" sheetId="6" r:id="rId3"/>
    <sheet name="Memorial de calculo" sheetId="2" r:id="rId4"/>
    <sheet name="Resumo placas" sheetId="3" r:id="rId5"/>
  </sheets>
  <definedNames>
    <definedName name="_xlnm.Print_Area" localSheetId="2">'Cron, de desembolso'!$A$1:$J$71</definedName>
    <definedName name="_xlnm.Print_Area" localSheetId="1">'Cronograma fisico financeiro'!$B$1:$L$33</definedName>
    <definedName name="_xlnm.Print_Area" localSheetId="3">'Memorial de calculo'!$C$1:$G$445</definedName>
    <definedName name="_xlnm.Print_Area" localSheetId="0">Planilha_Orçamentaria_183!$C$1:$J$42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9" i="6" l="1"/>
  <c r="J30" i="1"/>
  <c r="J29" i="1"/>
  <c r="J28" i="1"/>
  <c r="J27" i="1"/>
  <c r="J26" i="1"/>
  <c r="J25" i="1"/>
  <c r="J24" i="1"/>
  <c r="J23" i="1"/>
  <c r="J22" i="1"/>
  <c r="J16" i="1"/>
  <c r="J15" i="1"/>
  <c r="J14" i="1"/>
  <c r="J9" i="1"/>
  <c r="J8" i="1" s="1"/>
  <c r="J32" i="1" s="1"/>
  <c r="J33" i="1" s="1"/>
  <c r="J34" i="1" s="1"/>
  <c r="L13" i="4"/>
  <c r="J7" i="6" s="1"/>
  <c r="J47" i="6"/>
  <c r="F46" i="6"/>
  <c r="J46" i="6"/>
  <c r="J45" i="6"/>
  <c r="F44" i="6"/>
  <c r="J44" i="6"/>
  <c r="J43" i="6"/>
  <c r="F42" i="6"/>
  <c r="J42" i="6"/>
  <c r="J41" i="6"/>
  <c r="F40" i="6"/>
  <c r="J40" i="6"/>
  <c r="J39" i="6"/>
  <c r="F38" i="6"/>
  <c r="J38" i="6"/>
  <c r="J37" i="6"/>
  <c r="F36" i="6"/>
  <c r="J36" i="6"/>
  <c r="J35" i="6"/>
  <c r="F34" i="6"/>
  <c r="J34" i="6"/>
  <c r="J33" i="6"/>
  <c r="F32" i="6"/>
  <c r="J32" i="6"/>
  <c r="J31" i="6"/>
  <c r="F30" i="6"/>
  <c r="J30" i="6"/>
  <c r="J29" i="6"/>
  <c r="F28" i="6"/>
  <c r="J28" i="6"/>
  <c r="J27" i="6"/>
  <c r="F26" i="6"/>
  <c r="J26" i="6"/>
  <c r="J25" i="6"/>
  <c r="F24" i="6"/>
  <c r="J24" i="6"/>
  <c r="G13" i="6"/>
  <c r="H9" i="6"/>
  <c r="L21" i="4"/>
  <c r="L19" i="4"/>
  <c r="L17" i="4"/>
  <c r="F12" i="1"/>
  <c r="G12" i="1"/>
  <c r="I12" i="1"/>
  <c r="J12" i="1"/>
  <c r="J13" i="1"/>
  <c r="G214" i="2"/>
  <c r="F219" i="2"/>
  <c r="D220" i="2"/>
  <c r="G188" i="2"/>
  <c r="F193" i="2"/>
  <c r="D194" i="2"/>
  <c r="G162" i="2"/>
  <c r="F167" i="2"/>
  <c r="G161" i="2"/>
  <c r="E167" i="2"/>
  <c r="G135" i="2"/>
  <c r="F140" i="2"/>
  <c r="G134" i="2"/>
  <c r="E140" i="2"/>
  <c r="G108" i="2"/>
  <c r="F113" i="2"/>
  <c r="G107" i="2"/>
  <c r="E113" i="2"/>
  <c r="G81" i="2"/>
  <c r="F86" i="2"/>
  <c r="D87" i="2"/>
  <c r="G55" i="2"/>
  <c r="F60" i="2"/>
  <c r="G54" i="2"/>
  <c r="E60" i="2"/>
  <c r="G27" i="2"/>
  <c r="F32" i="2"/>
  <c r="D33" i="2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F5" i="3"/>
  <c r="E439" i="2"/>
  <c r="E432" i="2"/>
  <c r="E426" i="2"/>
  <c r="E418" i="2"/>
  <c r="E411" i="2"/>
  <c r="E40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D294" i="2"/>
  <c r="D288" i="2"/>
  <c r="D282" i="2"/>
  <c r="D276" i="2"/>
  <c r="D270" i="2"/>
  <c r="D264" i="2"/>
  <c r="D258" i="2"/>
  <c r="D252" i="2"/>
  <c r="G235" i="2"/>
  <c r="D237" i="2"/>
  <c r="G229" i="2"/>
  <c r="D231" i="2"/>
  <c r="D225" i="2"/>
  <c r="G209" i="2"/>
  <c r="D211" i="2"/>
  <c r="G203" i="2"/>
  <c r="D205" i="2"/>
  <c r="D199" i="2"/>
  <c r="G183" i="2"/>
  <c r="D185" i="2"/>
  <c r="G177" i="2"/>
  <c r="D179" i="2"/>
  <c r="D173" i="2"/>
  <c r="G156" i="2"/>
  <c r="D158" i="2"/>
  <c r="G150" i="2"/>
  <c r="D152" i="2"/>
  <c r="D146" i="2"/>
  <c r="G129" i="2"/>
  <c r="D131" i="2"/>
  <c r="G123" i="2"/>
  <c r="D125" i="2"/>
  <c r="D119" i="2"/>
  <c r="G102" i="2"/>
  <c r="D104" i="2"/>
  <c r="G96" i="2"/>
  <c r="D98" i="2"/>
  <c r="D92" i="2"/>
  <c r="G76" i="2"/>
  <c r="D78" i="2"/>
  <c r="G70" i="2"/>
  <c r="D72" i="2"/>
  <c r="D66" i="2"/>
  <c r="G49" i="2"/>
  <c r="D51" i="2"/>
  <c r="G43" i="2"/>
  <c r="D45" i="2"/>
  <c r="D39" i="2"/>
  <c r="D141" i="2"/>
  <c r="D168" i="2"/>
  <c r="D114" i="2"/>
  <c r="D61" i="2"/>
  <c r="G243" i="2"/>
  <c r="G242" i="2"/>
  <c r="G241" i="2"/>
  <c r="G297" i="2"/>
  <c r="E352" i="2"/>
  <c r="E376" i="2"/>
  <c r="E315" i="2"/>
  <c r="J31" i="1"/>
  <c r="I31" i="1"/>
  <c r="G31" i="1"/>
  <c r="F31" i="1"/>
  <c r="I21" i="1"/>
  <c r="J20" i="1"/>
  <c r="I20" i="1"/>
  <c r="G20" i="1"/>
  <c r="F20" i="1"/>
  <c r="I13" i="1"/>
  <c r="I8" i="1"/>
  <c r="J19" i="6"/>
  <c r="F18" i="6"/>
  <c r="J18" i="6"/>
  <c r="G240" i="2"/>
  <c r="G244" i="2"/>
  <c r="F19" i="2"/>
  <c r="E18" i="4"/>
  <c r="F18" i="4"/>
  <c r="H18" i="4"/>
  <c r="K18" i="4"/>
  <c r="J18" i="4"/>
  <c r="G18" i="4"/>
  <c r="I18" i="4"/>
  <c r="D18" i="4"/>
  <c r="J21" i="1"/>
  <c r="F20" i="2"/>
  <c r="E23" i="6"/>
  <c r="K22" i="4"/>
  <c r="I22" i="4"/>
  <c r="D22" i="4"/>
  <c r="J22" i="4"/>
  <c r="G22" i="4"/>
  <c r="F22" i="4"/>
  <c r="H22" i="4"/>
  <c r="E22" i="4"/>
  <c r="F21" i="2"/>
  <c r="J23" i="6"/>
  <c r="F22" i="6"/>
  <c r="J22" i="6"/>
  <c r="E50" i="6"/>
  <c r="E21" i="6"/>
  <c r="L19" i="1"/>
  <c r="L17" i="1"/>
  <c r="L18" i="1"/>
  <c r="K20" i="4"/>
  <c r="K23" i="4"/>
  <c r="D20" i="4"/>
  <c r="D23" i="4"/>
  <c r="E20" i="4"/>
  <c r="E23" i="4"/>
  <c r="J20" i="4"/>
  <c r="J23" i="4"/>
  <c r="I20" i="4"/>
  <c r="I23" i="4"/>
  <c r="H20" i="4"/>
  <c r="H23" i="4"/>
  <c r="G20" i="4"/>
  <c r="G23" i="4"/>
  <c r="F20" i="4"/>
  <c r="F23" i="4"/>
  <c r="L23" i="4"/>
  <c r="J21" i="6"/>
  <c r="F20" i="6"/>
  <c r="J20" i="6"/>
  <c r="E51" i="6"/>
  <c r="J51" i="6"/>
  <c r="E52" i="6"/>
  <c r="J52" i="6"/>
  <c r="E49" i="6" l="1"/>
  <c r="J49" i="6" s="1"/>
  <c r="J50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Fauler Lazari</author>
  </authors>
  <commentList>
    <comment ref="G13" authorId="0" shapeId="0" xr:uid="{B49D0E8A-296D-4852-B647-DF7083EBA6F1}">
      <text>
        <r>
          <rPr>
            <b/>
            <sz val="12"/>
            <color indexed="16"/>
            <rFont val="Segoe UI"/>
            <family val="2"/>
          </rPr>
          <t>Cálculo automático.</t>
        </r>
      </text>
    </comment>
    <comment ref="H15" authorId="0" shapeId="0" xr:uid="{CDA2FAC4-80B5-40ED-BEA2-13E1D823D537}">
      <text>
        <r>
          <rPr>
            <b/>
            <sz val="12"/>
            <color indexed="16"/>
            <rFont val="Segoe UI"/>
            <family val="2"/>
          </rPr>
          <t>Inserir o prazo de execução em dias</t>
        </r>
      </text>
    </comment>
    <comment ref="B18" authorId="0" shapeId="0" xr:uid="{FCBE3DBC-3E7B-44AC-B052-7C63FDCF711D}">
      <text>
        <r>
          <rPr>
            <b/>
            <sz val="12"/>
            <color indexed="16"/>
            <rFont val="Segoe UI"/>
            <family val="2"/>
          </rPr>
          <t>OCULTAR AS LINHAS 
SEM USO</t>
        </r>
      </text>
    </comment>
    <comment ref="J18" authorId="0" shapeId="0" xr:uid="{19FF73FF-6BAF-4D2F-ABF2-E0747D0D11B2}">
      <text>
        <r>
          <rPr>
            <b/>
            <sz val="12"/>
            <color indexed="16"/>
            <rFont val="Segoe UI"/>
            <family val="2"/>
          </rPr>
          <t>Somatória automática referente à este item.</t>
        </r>
      </text>
    </comment>
    <comment ref="J19" authorId="0" shapeId="0" xr:uid="{211422E4-3A38-4919-B55F-4BA71041534E}">
      <text>
        <r>
          <rPr>
            <b/>
            <sz val="12"/>
            <color indexed="16"/>
            <rFont val="Segoe UI"/>
            <family val="2"/>
          </rPr>
          <t>Somatória automática referente à este item.</t>
        </r>
      </text>
    </comment>
    <comment ref="B20" authorId="0" shapeId="0" xr:uid="{FCC1F82A-8607-468C-90A4-E1CCF4249B3D}">
      <text>
        <r>
          <rPr>
            <b/>
            <sz val="12"/>
            <color indexed="16"/>
            <rFont val="Segoe UI"/>
            <family val="2"/>
          </rPr>
          <t>OCULTAR AS LINHAS 
SEM USO</t>
        </r>
      </text>
    </comment>
    <comment ref="J20" authorId="0" shapeId="0" xr:uid="{6823EACA-981E-422C-B540-666CD4A60899}">
      <text>
        <r>
          <rPr>
            <b/>
            <sz val="12"/>
            <color indexed="16"/>
            <rFont val="Segoe UI"/>
            <family val="2"/>
          </rPr>
          <t>Somatória automática referente à este item.</t>
        </r>
      </text>
    </comment>
    <comment ref="J21" authorId="0" shapeId="0" xr:uid="{DEBC3EBD-B951-4C77-8B17-AB12D1DA82CC}">
      <text>
        <r>
          <rPr>
            <b/>
            <sz val="12"/>
            <color indexed="16"/>
            <rFont val="Segoe UI"/>
            <family val="2"/>
          </rPr>
          <t>Somatória automática referente à este item.</t>
        </r>
      </text>
    </comment>
    <comment ref="B22" authorId="0" shapeId="0" xr:uid="{98F53AD5-7484-42EF-B6BA-6335D10783DF}">
      <text>
        <r>
          <rPr>
            <b/>
            <sz val="12"/>
            <color indexed="16"/>
            <rFont val="Segoe UI"/>
            <family val="2"/>
          </rPr>
          <t>OCULTAR AS LINHAS 
SEM USO</t>
        </r>
      </text>
    </comment>
    <comment ref="J22" authorId="0" shapeId="0" xr:uid="{01365D3A-2680-48A0-B610-BC12451F7D59}">
      <text>
        <r>
          <rPr>
            <b/>
            <sz val="12"/>
            <color indexed="16"/>
            <rFont val="Segoe UI"/>
            <family val="2"/>
          </rPr>
          <t>Somatória automática referente à este item.</t>
        </r>
      </text>
    </comment>
    <comment ref="J23" authorId="0" shapeId="0" xr:uid="{739A4185-18E0-4237-BBFC-FBDF52C0F5B9}">
      <text>
        <r>
          <rPr>
            <b/>
            <sz val="12"/>
            <color indexed="16"/>
            <rFont val="Segoe UI"/>
            <family val="2"/>
          </rPr>
          <t>Somatória automática referente à este item.</t>
        </r>
      </text>
    </comment>
    <comment ref="B24" authorId="0" shapeId="0" xr:uid="{62DDC886-7B03-4DF7-B836-5A6D51F27171}">
      <text>
        <r>
          <rPr>
            <b/>
            <sz val="12"/>
            <color indexed="16"/>
            <rFont val="Segoe UI"/>
            <family val="2"/>
          </rPr>
          <t>OCULTAR AS LINHAS 
SEM USO</t>
        </r>
      </text>
    </comment>
    <comment ref="J24" authorId="0" shapeId="0" xr:uid="{2D93930D-D84B-4E18-9A00-6FA6CC488CA2}">
      <text>
        <r>
          <rPr>
            <b/>
            <sz val="12"/>
            <color indexed="16"/>
            <rFont val="Segoe UI"/>
            <family val="2"/>
          </rPr>
          <t>Somatória automática referente à este item.</t>
        </r>
      </text>
    </comment>
    <comment ref="J25" authorId="0" shapeId="0" xr:uid="{94F4FB63-6019-4368-BBD4-4704904315D6}">
      <text>
        <r>
          <rPr>
            <b/>
            <sz val="12"/>
            <color indexed="16"/>
            <rFont val="Segoe UI"/>
            <family val="2"/>
          </rPr>
          <t>Somatória automática referente à este item.</t>
        </r>
      </text>
    </comment>
    <comment ref="B26" authorId="0" shapeId="0" xr:uid="{5AAEBE81-F8DF-41E5-A9F2-293DF04CFD95}">
      <text>
        <r>
          <rPr>
            <b/>
            <sz val="12"/>
            <color indexed="16"/>
            <rFont val="Segoe UI"/>
            <family val="2"/>
          </rPr>
          <t>OCULTAR AS LINHAS 
SEM USO</t>
        </r>
      </text>
    </comment>
    <comment ref="J26" authorId="0" shapeId="0" xr:uid="{D30DCCE7-E7DE-4C9D-9F01-A5EFA431B315}">
      <text>
        <r>
          <rPr>
            <b/>
            <sz val="12"/>
            <color indexed="16"/>
            <rFont val="Segoe UI"/>
            <family val="2"/>
          </rPr>
          <t>Somatória automática referente à este item.</t>
        </r>
      </text>
    </comment>
    <comment ref="J27" authorId="0" shapeId="0" xr:uid="{1E14BF64-BD4B-420A-9787-05FC13B61928}">
      <text>
        <r>
          <rPr>
            <b/>
            <sz val="12"/>
            <color indexed="16"/>
            <rFont val="Segoe UI"/>
            <family val="2"/>
          </rPr>
          <t>Somatória automática referente à este item.</t>
        </r>
      </text>
    </comment>
    <comment ref="B28" authorId="0" shapeId="0" xr:uid="{E096F6AA-BC1F-4939-A394-407562D53A21}">
      <text>
        <r>
          <rPr>
            <b/>
            <sz val="12"/>
            <color indexed="16"/>
            <rFont val="Segoe UI"/>
            <family val="2"/>
          </rPr>
          <t>OCULTAR AS LINHAS 
SEM USO</t>
        </r>
      </text>
    </comment>
    <comment ref="J28" authorId="0" shapeId="0" xr:uid="{74B5918F-787D-46EF-9172-B50A087E2330}">
      <text>
        <r>
          <rPr>
            <b/>
            <sz val="12"/>
            <color indexed="16"/>
            <rFont val="Segoe UI"/>
            <family val="2"/>
          </rPr>
          <t>Somatória automática referente à este item.</t>
        </r>
      </text>
    </comment>
    <comment ref="J29" authorId="0" shapeId="0" xr:uid="{B84F88DD-5549-4EC8-A1DC-E895562C38BD}">
      <text>
        <r>
          <rPr>
            <b/>
            <sz val="12"/>
            <color indexed="16"/>
            <rFont val="Segoe UI"/>
            <family val="2"/>
          </rPr>
          <t>Somatória automática referente à este item.</t>
        </r>
      </text>
    </comment>
    <comment ref="B30" authorId="0" shapeId="0" xr:uid="{1CC44174-9D6B-408C-A2A5-46C578B37428}">
      <text>
        <r>
          <rPr>
            <b/>
            <sz val="12"/>
            <color indexed="16"/>
            <rFont val="Segoe UI"/>
            <family val="2"/>
          </rPr>
          <t>OCULTAR AS LINHAS 
SEM USO</t>
        </r>
      </text>
    </comment>
    <comment ref="J30" authorId="0" shapeId="0" xr:uid="{6D47A1F4-1D17-4749-815E-F09ACE20B205}">
      <text>
        <r>
          <rPr>
            <b/>
            <sz val="12"/>
            <color indexed="16"/>
            <rFont val="Segoe UI"/>
            <family val="2"/>
          </rPr>
          <t>Somatória automática referente à este item.</t>
        </r>
      </text>
    </comment>
    <comment ref="J31" authorId="0" shapeId="0" xr:uid="{C98DB755-737A-4458-B453-5C126C150094}">
      <text>
        <r>
          <rPr>
            <b/>
            <sz val="12"/>
            <color indexed="16"/>
            <rFont val="Segoe UI"/>
            <family val="2"/>
          </rPr>
          <t>Somatória automática referente à este item.</t>
        </r>
      </text>
    </comment>
    <comment ref="B32" authorId="0" shapeId="0" xr:uid="{DDBA0253-11C7-40E8-B859-B36FD10E42B2}">
      <text>
        <r>
          <rPr>
            <b/>
            <sz val="12"/>
            <color indexed="16"/>
            <rFont val="Segoe UI"/>
            <family val="2"/>
          </rPr>
          <t>OCULTAR AS LINHAS 
SEM USO</t>
        </r>
      </text>
    </comment>
    <comment ref="J32" authorId="0" shapeId="0" xr:uid="{7AB7201B-988D-46E6-B3FF-115AC441D823}">
      <text>
        <r>
          <rPr>
            <b/>
            <sz val="12"/>
            <color indexed="16"/>
            <rFont val="Segoe UI"/>
            <family val="2"/>
          </rPr>
          <t>Somatória automática referente à este item.</t>
        </r>
      </text>
    </comment>
    <comment ref="J33" authorId="0" shapeId="0" xr:uid="{233F4A31-507C-453E-B1F0-56B67C077A4A}">
      <text>
        <r>
          <rPr>
            <b/>
            <sz val="12"/>
            <color indexed="16"/>
            <rFont val="Segoe UI"/>
            <family val="2"/>
          </rPr>
          <t>Somatória automática referente à este item.</t>
        </r>
      </text>
    </comment>
    <comment ref="B34" authorId="0" shapeId="0" xr:uid="{BB968BA5-CBA8-4D59-989C-109FEF41AD7E}">
      <text>
        <r>
          <rPr>
            <b/>
            <sz val="12"/>
            <color indexed="16"/>
            <rFont val="Segoe UI"/>
            <family val="2"/>
          </rPr>
          <t>OCULTAR AS LINHAS 
SEM USO</t>
        </r>
      </text>
    </comment>
    <comment ref="J34" authorId="0" shapeId="0" xr:uid="{BA0759B4-B326-4719-ADC9-05914786C5EE}">
      <text>
        <r>
          <rPr>
            <b/>
            <sz val="12"/>
            <color indexed="16"/>
            <rFont val="Segoe UI"/>
            <family val="2"/>
          </rPr>
          <t>Somatória automática referente à este item.</t>
        </r>
      </text>
    </comment>
    <comment ref="J35" authorId="0" shapeId="0" xr:uid="{F7D80183-4E00-4CA0-9833-35189C74B188}">
      <text>
        <r>
          <rPr>
            <b/>
            <sz val="12"/>
            <color indexed="16"/>
            <rFont val="Segoe UI"/>
            <family val="2"/>
          </rPr>
          <t>Somatória automática referente à este item.</t>
        </r>
      </text>
    </comment>
    <comment ref="B36" authorId="0" shapeId="0" xr:uid="{824123EF-ABD9-476B-A71C-88913DB0E313}">
      <text>
        <r>
          <rPr>
            <b/>
            <sz val="12"/>
            <color indexed="16"/>
            <rFont val="Segoe UI"/>
            <family val="2"/>
          </rPr>
          <t>OCULTAR AS LINHAS 
SEM USO</t>
        </r>
      </text>
    </comment>
    <comment ref="J36" authorId="0" shapeId="0" xr:uid="{C2BC4E73-7A8E-4F3C-89EC-3AEDDD27AD6A}">
      <text>
        <r>
          <rPr>
            <b/>
            <sz val="12"/>
            <color indexed="16"/>
            <rFont val="Segoe UI"/>
            <family val="2"/>
          </rPr>
          <t>Somatória automática referente à este item.</t>
        </r>
      </text>
    </comment>
    <comment ref="J37" authorId="0" shapeId="0" xr:uid="{A0AAB7A5-DF59-4FAF-9535-1E474C3016C2}">
      <text>
        <r>
          <rPr>
            <b/>
            <sz val="12"/>
            <color indexed="16"/>
            <rFont val="Segoe UI"/>
            <family val="2"/>
          </rPr>
          <t>Somatória automática referente à este item.</t>
        </r>
      </text>
    </comment>
    <comment ref="B38" authorId="0" shapeId="0" xr:uid="{F38AB19F-0344-4CA6-9CEE-EB0B4186691E}">
      <text>
        <r>
          <rPr>
            <b/>
            <sz val="12"/>
            <color indexed="16"/>
            <rFont val="Segoe UI"/>
            <family val="2"/>
          </rPr>
          <t>OCULTAR AS LINHAS 
SEM USO</t>
        </r>
      </text>
    </comment>
    <comment ref="J38" authorId="0" shapeId="0" xr:uid="{5A79D54E-2441-4C31-95E6-B66CE04BA771}">
      <text>
        <r>
          <rPr>
            <b/>
            <sz val="12"/>
            <color indexed="16"/>
            <rFont val="Segoe UI"/>
            <family val="2"/>
          </rPr>
          <t>Somatória automática referente à este item.</t>
        </r>
      </text>
    </comment>
    <comment ref="J39" authorId="0" shapeId="0" xr:uid="{C1572D59-C0B0-4782-9A0D-1241D73289BE}">
      <text>
        <r>
          <rPr>
            <b/>
            <sz val="12"/>
            <color indexed="16"/>
            <rFont val="Segoe UI"/>
            <family val="2"/>
          </rPr>
          <t>Somatória automática referente à este item.</t>
        </r>
      </text>
    </comment>
    <comment ref="B40" authorId="0" shapeId="0" xr:uid="{DBE73DF5-30F0-4B0F-9D85-1591E30A815A}">
      <text>
        <r>
          <rPr>
            <b/>
            <sz val="12"/>
            <color indexed="16"/>
            <rFont val="Segoe UI"/>
            <family val="2"/>
          </rPr>
          <t>OCULTAR AS LINHAS 
SEM USO</t>
        </r>
      </text>
    </comment>
    <comment ref="J40" authorId="0" shapeId="0" xr:uid="{B7E5F0FB-8221-4371-BA19-E5ECAB231F00}">
      <text>
        <r>
          <rPr>
            <b/>
            <sz val="12"/>
            <color indexed="16"/>
            <rFont val="Segoe UI"/>
            <family val="2"/>
          </rPr>
          <t>Somatória automática referente à este item.</t>
        </r>
      </text>
    </comment>
    <comment ref="J41" authorId="0" shapeId="0" xr:uid="{EF508207-AF81-4748-B9CF-805B97F33E84}">
      <text>
        <r>
          <rPr>
            <b/>
            <sz val="12"/>
            <color indexed="16"/>
            <rFont val="Segoe UI"/>
            <family val="2"/>
          </rPr>
          <t>Somatória automática referente à este item.</t>
        </r>
      </text>
    </comment>
    <comment ref="B42" authorId="0" shapeId="0" xr:uid="{E1CEED65-78EE-4E41-A21D-070D51C55279}">
      <text>
        <r>
          <rPr>
            <b/>
            <sz val="12"/>
            <color indexed="16"/>
            <rFont val="Segoe UI"/>
            <family val="2"/>
          </rPr>
          <t>OCULTAR AS LINHAS 
SEM USO</t>
        </r>
      </text>
    </comment>
    <comment ref="J42" authorId="0" shapeId="0" xr:uid="{ACC6A773-7F9C-4B28-8594-7EFA69F5D6E0}">
      <text>
        <r>
          <rPr>
            <b/>
            <sz val="12"/>
            <color indexed="16"/>
            <rFont val="Segoe UI"/>
            <family val="2"/>
          </rPr>
          <t>Somatória automática referente à este item.</t>
        </r>
      </text>
    </comment>
    <comment ref="J43" authorId="0" shapeId="0" xr:uid="{7CE277C1-88F7-4070-BB70-C134346778DF}">
      <text>
        <r>
          <rPr>
            <b/>
            <sz val="12"/>
            <color indexed="16"/>
            <rFont val="Segoe UI"/>
            <family val="2"/>
          </rPr>
          <t>Somatória automática referente à este item.</t>
        </r>
      </text>
    </comment>
    <comment ref="B44" authorId="0" shapeId="0" xr:uid="{D1252861-61CC-416A-AF9E-6217C2857733}">
      <text>
        <r>
          <rPr>
            <b/>
            <sz val="12"/>
            <color indexed="16"/>
            <rFont val="Segoe UI"/>
            <family val="2"/>
          </rPr>
          <t>OCULTAR AS LINHAS 
SEM USO</t>
        </r>
      </text>
    </comment>
    <comment ref="J44" authorId="0" shapeId="0" xr:uid="{3E243DDD-7334-460B-9586-2341B27E9F05}">
      <text>
        <r>
          <rPr>
            <b/>
            <sz val="12"/>
            <color indexed="16"/>
            <rFont val="Segoe UI"/>
            <family val="2"/>
          </rPr>
          <t>Somatória automática referente à este item.</t>
        </r>
      </text>
    </comment>
    <comment ref="J45" authorId="0" shapeId="0" xr:uid="{3B0FE946-EB18-45FA-8795-A3CB6A44AB81}">
      <text>
        <r>
          <rPr>
            <b/>
            <sz val="12"/>
            <color indexed="16"/>
            <rFont val="Segoe UI"/>
            <family val="2"/>
          </rPr>
          <t>Somatória automática referente à este item.</t>
        </r>
      </text>
    </comment>
    <comment ref="B46" authorId="0" shapeId="0" xr:uid="{DED04E47-0E3A-44EE-8C68-7F36DB59F537}">
      <text>
        <r>
          <rPr>
            <b/>
            <sz val="12"/>
            <color indexed="16"/>
            <rFont val="Segoe UI"/>
            <family val="2"/>
          </rPr>
          <t>OCULTAR AS LINHAS 
SEM USO</t>
        </r>
      </text>
    </comment>
    <comment ref="J46" authorId="0" shapeId="0" xr:uid="{F10E8846-DE1F-481E-8B8B-2909616AA6FB}">
      <text>
        <r>
          <rPr>
            <b/>
            <sz val="12"/>
            <color indexed="16"/>
            <rFont val="Segoe UI"/>
            <family val="2"/>
          </rPr>
          <t>Somatória automática referente à este item.</t>
        </r>
      </text>
    </comment>
    <comment ref="J47" authorId="0" shapeId="0" xr:uid="{763DEA1A-914F-4DDC-B69A-20DAFD4661D7}">
      <text>
        <r>
          <rPr>
            <b/>
            <sz val="12"/>
            <color indexed="16"/>
            <rFont val="Segoe UI"/>
            <family val="2"/>
          </rPr>
          <t>Somatória automática referente à este item.</t>
        </r>
      </text>
    </comment>
    <comment ref="J49" authorId="0" shapeId="0" xr:uid="{0E5ADBF9-03C3-43C8-855B-21AC8A2DC33D}">
      <text>
        <r>
          <rPr>
            <b/>
            <sz val="12"/>
            <color indexed="16"/>
            <rFont val="Segoe UI"/>
            <family val="2"/>
          </rPr>
          <t>Somatória automática referente à este item, NÃO ALTERAR</t>
        </r>
      </text>
    </comment>
    <comment ref="J50" authorId="0" shapeId="0" xr:uid="{D6A05531-FF58-4FEE-BFC0-2E50D2EDA186}">
      <text>
        <r>
          <rPr>
            <b/>
            <sz val="12"/>
            <color indexed="16"/>
            <rFont val="Segoe UI"/>
            <family val="2"/>
          </rPr>
          <t>Somatória automática referente à este item, NÃO ALTERAR</t>
        </r>
      </text>
    </comment>
    <comment ref="J51" authorId="0" shapeId="0" xr:uid="{43FFAF9E-4990-4F9C-8029-A6CB5E632D86}">
      <text>
        <r>
          <rPr>
            <b/>
            <sz val="12"/>
            <color indexed="16"/>
            <rFont val="Segoe UI"/>
            <family val="2"/>
          </rPr>
          <t>Somatória automática referente à este item, NÃO ALTERAR</t>
        </r>
      </text>
    </comment>
    <comment ref="J52" authorId="0" shapeId="0" xr:uid="{37F367F6-F606-4B82-B77D-CE34770529F2}">
      <text>
        <r>
          <rPr>
            <b/>
            <sz val="12"/>
            <color indexed="16"/>
            <rFont val="Segoe UI"/>
            <family val="2"/>
          </rPr>
          <t>Somatória automática referente à este item, NÃO ALTERAR</t>
        </r>
      </text>
    </comment>
  </commentList>
</comments>
</file>

<file path=xl/sharedStrings.xml><?xml version="1.0" encoding="utf-8"?>
<sst xmlns="http://schemas.openxmlformats.org/spreadsheetml/2006/main" count="1005" uniqueCount="221">
  <si>
    <t>CDHU</t>
  </si>
  <si>
    <t>FONTE</t>
  </si>
  <si>
    <t>ITEM</t>
  </si>
  <si>
    <t>CÓDIGO</t>
  </si>
  <si>
    <t>DESCRIÇÃO</t>
  </si>
  <si>
    <t>UNID.</t>
  </si>
  <si>
    <t>QUANT.</t>
  </si>
  <si>
    <t>VALOR UNIT.</t>
  </si>
  <si>
    <t>TOTAL</t>
  </si>
  <si>
    <t>1.0</t>
  </si>
  <si>
    <t>SERVIÇOS PRELIMINARES</t>
  </si>
  <si>
    <t>1.1</t>
  </si>
  <si>
    <t>0208020</t>
  </si>
  <si>
    <t>Placa de identificação para obra</t>
  </si>
  <si>
    <t>M2</t>
  </si>
  <si>
    <t>2.0</t>
  </si>
  <si>
    <t>SINALIZAÇÃO HORIZONTAL</t>
  </si>
  <si>
    <t>2.1</t>
  </si>
  <si>
    <t>7002001</t>
  </si>
  <si>
    <t>Limpeza, pré marcação e pré pintura de solo</t>
  </si>
  <si>
    <t>2.2</t>
  </si>
  <si>
    <t>7002014</t>
  </si>
  <si>
    <t>Sinalização horizontal em massa termoplástica à quente por aspersão, espessura de 1,5 mm, para faixas</t>
  </si>
  <si>
    <t>2.3</t>
  </si>
  <si>
    <t>7002017</t>
  </si>
  <si>
    <t>Sinalização horizontal em massa termoplástica à quente por extrusão, espessura de 3,0 mm, para legendas</t>
  </si>
  <si>
    <t>3.0</t>
  </si>
  <si>
    <t>SINALIZAÇÃO VERTICAL</t>
  </si>
  <si>
    <t>TOTAL GERAL</t>
  </si>
  <si>
    <t>3.1</t>
  </si>
  <si>
    <t>3.2</t>
  </si>
  <si>
    <t>3.3</t>
  </si>
  <si>
    <t>7003012</t>
  </si>
  <si>
    <t>7003013</t>
  </si>
  <si>
    <t>3.4</t>
  </si>
  <si>
    <t>3.5</t>
  </si>
  <si>
    <t>3.6</t>
  </si>
  <si>
    <t>7004001</t>
  </si>
  <si>
    <t>7004002</t>
  </si>
  <si>
    <t>7004003</t>
  </si>
  <si>
    <t>7004004</t>
  </si>
  <si>
    <t>7004005</t>
  </si>
  <si>
    <t>7004006</t>
  </si>
  <si>
    <t>3.7</t>
  </si>
  <si>
    <t>3.8</t>
  </si>
  <si>
    <t>3.9</t>
  </si>
  <si>
    <t>Coluna simples (PP), diâmetro de 2 1/2" e comprimento de 3,6 m</t>
  </si>
  <si>
    <t xml:space="preserve">UN </t>
  </si>
  <si>
    <t>Coluna simples (P-51), para fixação de placa de orientação</t>
  </si>
  <si>
    <t>Coluna dupla (P-53), para fixação de placa de orientação</t>
  </si>
  <si>
    <t>Coluna (P-57), para fixação de placa de orientação, com braço projetado</t>
  </si>
  <si>
    <t>Braço (P-55), para fixação em poste de concreto</t>
  </si>
  <si>
    <t>Coluna dupla (PP), diâmetro de 2 x 2 1/2" e comprimento de 3,6 m</t>
  </si>
  <si>
    <t>CÓD. SERVIÇO</t>
  </si>
  <si>
    <t>DESCRIÇÃO DO SERVIÇO</t>
  </si>
  <si>
    <t>Placa principal: 3,00m*1,50m = 4,50m²</t>
  </si>
  <si>
    <t>Placa de apoio: 1,00m*1,50m = 1,50m²</t>
  </si>
  <si>
    <t>Somatória do item 2.2:</t>
  </si>
  <si>
    <t>m²</t>
  </si>
  <si>
    <t>Somatória do item 2.3:</t>
  </si>
  <si>
    <t>Total:</t>
  </si>
  <si>
    <t>Sinalização horizontal em massa termoplástica à quente  por aspersão, espessura de 1,5 mm, para faixas</t>
  </si>
  <si>
    <t>Trecho 01</t>
  </si>
  <si>
    <t>Faixa de travessia de pedestre (FTP-1)</t>
  </si>
  <si>
    <t xml:space="preserve">Dimensões conforme projeto folha </t>
  </si>
  <si>
    <t>Sinalização horizontal com tinta vinílica ou acrílica</t>
  </si>
  <si>
    <t>Largura:</t>
  </si>
  <si>
    <t>Linha de retenção (LRE)</t>
  </si>
  <si>
    <t>Sinalização horizontal em massa termoplástica à quente  por extrusão, espessura de 3,0 mm, para legendas</t>
  </si>
  <si>
    <t>Comprimento total:</t>
  </si>
  <si>
    <t>Quantidade:</t>
  </si>
  <si>
    <t>Linha simples contínua (LMS-1)</t>
  </si>
  <si>
    <t>Comprimento linear:</t>
  </si>
  <si>
    <t>Área por faixa (m²):</t>
  </si>
  <si>
    <t>Linha dupla contínua (LFO-3)</t>
  </si>
  <si>
    <t>Trecho 02</t>
  </si>
  <si>
    <t>Trecho 03</t>
  </si>
  <si>
    <t>Trecho 04</t>
  </si>
  <si>
    <t>Trecho 05</t>
  </si>
  <si>
    <t>Trecho 06</t>
  </si>
  <si>
    <t>Trecho 07</t>
  </si>
  <si>
    <t>Trecho 08</t>
  </si>
  <si>
    <t>Somatória dos trechos 01 - 08</t>
  </si>
  <si>
    <t>ITENS</t>
  </si>
  <si>
    <t>M²</t>
  </si>
  <si>
    <t>Legenda PARE</t>
  </si>
  <si>
    <t>C-01</t>
  </si>
  <si>
    <t>C-02</t>
  </si>
  <si>
    <t>C-03</t>
  </si>
  <si>
    <t>C-05</t>
  </si>
  <si>
    <t>C-06</t>
  </si>
  <si>
    <t>C-12</t>
  </si>
  <si>
    <t>C-13</t>
  </si>
  <si>
    <t>C-14</t>
  </si>
  <si>
    <t>C-17</t>
  </si>
  <si>
    <t>C-18</t>
  </si>
  <si>
    <t>C-19</t>
  </si>
  <si>
    <t>C-24</t>
  </si>
  <si>
    <t>C-25</t>
  </si>
  <si>
    <t>C-04</t>
  </si>
  <si>
    <t>PP SIMPLES</t>
  </si>
  <si>
    <t>C-07</t>
  </si>
  <si>
    <t>C-10</t>
  </si>
  <si>
    <t>C-26</t>
  </si>
  <si>
    <t>PP DUPLO</t>
  </si>
  <si>
    <t>C-27</t>
  </si>
  <si>
    <t>C-28</t>
  </si>
  <si>
    <t>C-29</t>
  </si>
  <si>
    <t>C-30</t>
  </si>
  <si>
    <t>C-31</t>
  </si>
  <si>
    <t>C-32</t>
  </si>
  <si>
    <t>C-33</t>
  </si>
  <si>
    <t>C-34</t>
  </si>
  <si>
    <t>C-35</t>
  </si>
  <si>
    <t>C-36</t>
  </si>
  <si>
    <t>C-37</t>
  </si>
  <si>
    <t>C-38</t>
  </si>
  <si>
    <t>C-39</t>
  </si>
  <si>
    <t>C-41</t>
  </si>
  <si>
    <t xml:space="preserve">TOTAL </t>
  </si>
  <si>
    <t>C-08</t>
  </si>
  <si>
    <t>P57</t>
  </si>
  <si>
    <t>C-09</t>
  </si>
  <si>
    <t>C-11</t>
  </si>
  <si>
    <t>P55</t>
  </si>
  <si>
    <t>C-15</t>
  </si>
  <si>
    <t>C-16</t>
  </si>
  <si>
    <t>P53</t>
  </si>
  <si>
    <t>C-20</t>
  </si>
  <si>
    <t>C-21</t>
  </si>
  <si>
    <t>C-22</t>
  </si>
  <si>
    <t>C-23</t>
  </si>
  <si>
    <t>C-40</t>
  </si>
  <si>
    <t xml:space="preserve">un </t>
  </si>
  <si>
    <t>TOTAL:</t>
  </si>
  <si>
    <t>Retirada de placa aérea</t>
  </si>
  <si>
    <t>DER</t>
  </si>
  <si>
    <t>PLACA</t>
  </si>
  <si>
    <t>LARGURA (M)</t>
  </si>
  <si>
    <t>ALTURA (M)</t>
  </si>
  <si>
    <t>SUPORTE</t>
  </si>
  <si>
    <t>EXISTENTE</t>
  </si>
  <si>
    <t>P51</t>
  </si>
  <si>
    <t/>
  </si>
  <si>
    <t>PLACAS A SEREM RETIRADAS</t>
  </si>
  <si>
    <t>Placa de sinalização viária em alumínio composto, totalmente refletiva com película III/III - área até 2,0 m²</t>
  </si>
  <si>
    <t>Placa de sinalização viária em alumínio composto, totalmente refletiva com película III/III - área maior que 2,0 m²</t>
  </si>
  <si>
    <t>Área:</t>
  </si>
  <si>
    <t>PLACAS A SEREM IMPLANTADAS</t>
  </si>
  <si>
    <t>Total</t>
  </si>
  <si>
    <t>Dimensões conforme projeto folha 03</t>
  </si>
  <si>
    <t>Comp. retangulo: 3,00 m</t>
  </si>
  <si>
    <t>Larg. retangulo: 0,30 m</t>
  </si>
  <si>
    <r>
      <rPr>
        <b/>
        <sz val="12"/>
        <color theme="1"/>
        <rFont val="Arial"/>
        <family val="2"/>
      </rPr>
      <t>Rua 8</t>
    </r>
    <r>
      <rPr>
        <sz val="12"/>
        <color theme="1"/>
        <rFont val="Arial"/>
        <family val="2"/>
      </rPr>
      <t xml:space="preserve"> metros: 12 ret.</t>
    </r>
  </si>
  <si>
    <r>
      <rPr>
        <b/>
        <sz val="12"/>
        <color theme="1"/>
        <rFont val="Arial"/>
        <family val="2"/>
      </rPr>
      <t>Rua 10</t>
    </r>
    <r>
      <rPr>
        <sz val="12"/>
        <color theme="1"/>
        <rFont val="Arial"/>
        <family val="2"/>
      </rPr>
      <t xml:space="preserve"> metros: 16 ret.</t>
    </r>
  </si>
  <si>
    <t>Quant. FTP-1</t>
  </si>
  <si>
    <t>Área</t>
  </si>
  <si>
    <t>Total (m²)</t>
  </si>
  <si>
    <t>Área FTP-1 ruas de 8 m:</t>
  </si>
  <si>
    <t>Área FTP-1 ruas de 10 m:</t>
  </si>
  <si>
    <t>Rua 8 m.</t>
  </si>
  <si>
    <t>Rua 10 m.</t>
  </si>
  <si>
    <t>Dimensões conforme projeto folha 04</t>
  </si>
  <si>
    <t>un para as duas placas</t>
  </si>
  <si>
    <t>BDI</t>
  </si>
  <si>
    <t>PREFEITURA MUNICIPAL DE ICÉM - SP</t>
  </si>
  <si>
    <t>OBJETO: SINALIZAÇÃO TURÍSTICA</t>
  </si>
  <si>
    <t>LOCAL: DIVERSAS RUAS DO MUNICÍPIO</t>
  </si>
  <si>
    <t>FONTE: CDHU BOLETIM 183 SD / DER 30/06/2021 SD</t>
  </si>
  <si>
    <t>370527</t>
  </si>
  <si>
    <t>PLANILHA ORÇAMENTÁRIA</t>
  </si>
  <si>
    <t>RESP. TÉCNICO</t>
  </si>
  <si>
    <t>CREA SP: 5069917225</t>
  </si>
  <si>
    <t>ALLAN VICTOR C. ARANTES</t>
  </si>
  <si>
    <t>Data base: 10/2021</t>
  </si>
  <si>
    <t>MÊS 01</t>
  </si>
  <si>
    <t>MÊS 02</t>
  </si>
  <si>
    <t>MÊS 03</t>
  </si>
  <si>
    <t>MÊS 04</t>
  </si>
  <si>
    <t>MÊS 05</t>
  </si>
  <si>
    <t>MÊS 06</t>
  </si>
  <si>
    <t>MÊS 07</t>
  </si>
  <si>
    <t>MÊS 08</t>
  </si>
  <si>
    <t>SERVIÇOS</t>
  </si>
  <si>
    <t>%</t>
  </si>
  <si>
    <t>CRONOGRAMA FÍSICO FINANCEIRO</t>
  </si>
  <si>
    <t xml:space="preserve">                                       PERÍODO
SERVIÇOS</t>
  </si>
  <si>
    <t>MEMORIAL DE CALCULO</t>
  </si>
  <si>
    <t xml:space="preserve">CRONOGRAMA FÍSICO - DESEMBOLSO E APLICAÇÃO DOS RECURSOS </t>
  </si>
  <si>
    <t>MUNICÍPIO:</t>
  </si>
  <si>
    <t>BOLETIM Nº.</t>
  </si>
  <si>
    <t xml:space="preserve">DATA BASE: </t>
  </si>
  <si>
    <t>OBJETO:</t>
  </si>
  <si>
    <t>PROCESSO:</t>
  </si>
  <si>
    <t>PRAZO PROPOSTO</t>
  </si>
  <si>
    <t>CONVÊNIO:</t>
  </si>
  <si>
    <t>UNIDADE</t>
  </si>
  <si>
    <t>R$</t>
  </si>
  <si>
    <t xml:space="preserve">RECURSOS ESTADUAIS </t>
  </si>
  <si>
    <t xml:space="preserve">RECURSOS PRÓPRIOS </t>
  </si>
  <si>
    <t xml:space="preserve">T O T A L  </t>
  </si>
  <si>
    <t>PORCENTAGEM DE SERVIÇOS</t>
  </si>
  <si>
    <t xml:space="preserve">180 dias da data da assinatura do convênio </t>
  </si>
  <si>
    <r>
      <t>FINAL:</t>
    </r>
    <r>
      <rPr>
        <b/>
        <u/>
        <sz val="10"/>
        <color rgb="FFFF0000"/>
        <rFont val="Calibri"/>
        <family val="2"/>
        <scheme val="minor"/>
      </rPr>
      <t/>
    </r>
  </si>
  <si>
    <t>1ª   ETAPA</t>
  </si>
  <si>
    <t>PERÍODO</t>
  </si>
  <si>
    <t>dias</t>
  </si>
  <si>
    <t>Licitação:</t>
  </si>
  <si>
    <t>Execução:</t>
  </si>
  <si>
    <t>Vistoria:</t>
  </si>
  <si>
    <t>Encerramento:</t>
  </si>
  <si>
    <t>Descrição do Item</t>
  </si>
  <si>
    <t>Lançar o valor mesmo que ZERO</t>
  </si>
  <si>
    <t>CDHU 183 SD
DER 06/21 SD</t>
  </si>
  <si>
    <t>Icém</t>
  </si>
  <si>
    <t>Sinalização Turísica</t>
  </si>
  <si>
    <t>ST-PRC-2021-00018-DM</t>
  </si>
  <si>
    <t>Portaria: 448/2021</t>
  </si>
  <si>
    <t>Data base: 11/2021</t>
  </si>
  <si>
    <r>
      <t xml:space="preserve">INÍCIO: </t>
    </r>
    <r>
      <rPr>
        <sz val="11"/>
        <rFont val="Calibri"/>
        <family val="2"/>
        <scheme val="minor"/>
      </rPr>
      <t xml:space="preserve"> </t>
    </r>
  </si>
  <si>
    <t>numero manual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</si>
</sst>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0.000"/>
    <numFmt numFmtId="166" formatCode="&quot;R$&quot;#,##0.00"/>
    <numFmt numFmtId="167" formatCode="_-[$R$-416]\ * #,##0.00_-;\-[$R$-416]\ * #,##0.00_-;_-[$R$-416]\ * &quot;-&quot;??_-;_-@_-"/>
    <numFmt numFmtId="168" formatCode="[$-416]mmmm\-yy;@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9.85"/>
      <color indexed="8"/>
      <name val="Times New Roman"/>
      <family val="1"/>
    </font>
    <font>
      <b/>
      <sz val="10"/>
      <color theme="1"/>
      <name val="Arial"/>
      <family val="2"/>
    </font>
    <font>
      <sz val="8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MS Sans Serif"/>
    </font>
    <font>
      <sz val="10"/>
      <name val="MS Sans Serif"/>
      <family val="2"/>
    </font>
    <font>
      <b/>
      <sz val="12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6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2"/>
      <color indexed="16"/>
      <name val="Segoe UI"/>
      <family val="2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 diagonalDown="1">
      <left/>
      <right style="thin">
        <color indexed="64"/>
      </right>
      <top/>
      <bottom/>
      <diagonal style="thin">
        <color auto="1"/>
      </diagonal>
    </border>
    <border>
      <left style="thin">
        <color auto="1"/>
      </left>
      <right style="thin">
        <color auto="1"/>
      </right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auto="1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auto="1"/>
      </diagonal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/>
      <bottom/>
      <diagonal style="thin">
        <color auto="1"/>
      </diagonal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Protection="0">
      <alignment vertical="center"/>
    </xf>
    <xf numFmtId="9" fontId="1" fillId="0" borderId="0" applyFont="0" applyFill="0" applyBorder="0" applyAlignment="0" applyProtection="0"/>
    <xf numFmtId="0" fontId="19" fillId="0" borderId="0"/>
    <xf numFmtId="0" fontId="20" fillId="0" borderId="0"/>
    <xf numFmtId="4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62">
    <xf numFmtId="0" fontId="0" fillId="0" borderId="0" xfId="0"/>
    <xf numFmtId="4" fontId="2" fillId="0" borderId="0" xfId="2" applyNumberFormat="1" applyFont="1" applyAlignment="1">
      <alignment horizontal="right" vertical="center"/>
    </xf>
    <xf numFmtId="0" fontId="6" fillId="0" borderId="0" xfId="0" applyFont="1"/>
    <xf numFmtId="0" fontId="9" fillId="0" borderId="0" xfId="0" applyFont="1" applyAlignment="1">
      <alignment horizontal="left"/>
    </xf>
    <xf numFmtId="0" fontId="9" fillId="0" borderId="0" xfId="0" applyFont="1"/>
    <xf numFmtId="0" fontId="9" fillId="0" borderId="24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9" fillId="0" borderId="27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left"/>
    </xf>
    <xf numFmtId="0" fontId="11" fillId="0" borderId="26" xfId="0" applyFont="1" applyBorder="1" applyAlignment="1">
      <alignment horizontal="left"/>
    </xf>
    <xf numFmtId="0" fontId="9" fillId="0" borderId="26" xfId="0" applyFont="1" applyBorder="1" applyAlignment="1">
      <alignment horizontal="right" vertical="top" indent="1"/>
    </xf>
    <xf numFmtId="0" fontId="10" fillId="0" borderId="21" xfId="0" applyFont="1" applyBorder="1" applyAlignment="1">
      <alignment horizontal="center" wrapText="1"/>
    </xf>
    <xf numFmtId="0" fontId="9" fillId="0" borderId="27" xfId="0" applyFont="1" applyBorder="1" applyAlignment="1">
      <alignment horizontal="left"/>
    </xf>
    <xf numFmtId="0" fontId="10" fillId="0" borderId="28" xfId="0" applyFont="1" applyBorder="1" applyAlignment="1">
      <alignment horizontal="center" wrapText="1"/>
    </xf>
    <xf numFmtId="0" fontId="9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wrapText="1"/>
    </xf>
    <xf numFmtId="0" fontId="9" fillId="0" borderId="17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2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2" fontId="9" fillId="0" borderId="26" xfId="0" applyNumberFormat="1" applyFont="1" applyBorder="1" applyAlignment="1">
      <alignment horizontal="center"/>
    </xf>
    <xf numFmtId="2" fontId="9" fillId="0" borderId="21" xfId="0" applyNumberFormat="1" applyFont="1" applyBorder="1" applyAlignment="1">
      <alignment horizontal="center"/>
    </xf>
    <xf numFmtId="2" fontId="9" fillId="0" borderId="28" xfId="0" applyNumberFormat="1" applyFont="1" applyBorder="1" applyAlignment="1">
      <alignment horizontal="center"/>
    </xf>
    <xf numFmtId="0" fontId="9" fillId="0" borderId="28" xfId="0" applyFont="1" applyBorder="1"/>
    <xf numFmtId="0" fontId="9" fillId="0" borderId="13" xfId="0" applyFont="1" applyBorder="1" applyAlignment="1">
      <alignment horizontal="left"/>
    </xf>
    <xf numFmtId="2" fontId="9" fillId="0" borderId="29" xfId="0" applyNumberFormat="1" applyFont="1" applyBorder="1" applyAlignment="1">
      <alignment horizontal="left"/>
    </xf>
    <xf numFmtId="0" fontId="9" fillId="0" borderId="29" xfId="0" applyFont="1" applyBorder="1"/>
    <xf numFmtId="0" fontId="9" fillId="0" borderId="30" xfId="0" applyFont="1" applyBorder="1"/>
    <xf numFmtId="0" fontId="9" fillId="0" borderId="21" xfId="0" applyFont="1" applyBorder="1"/>
    <xf numFmtId="0" fontId="9" fillId="0" borderId="27" xfId="0" applyFont="1" applyBorder="1"/>
    <xf numFmtId="0" fontId="9" fillId="0" borderId="13" xfId="0" applyFont="1" applyBorder="1"/>
    <xf numFmtId="2" fontId="9" fillId="0" borderId="29" xfId="0" applyNumberFormat="1" applyFont="1" applyBorder="1" applyAlignment="1">
      <alignment horizontal="center"/>
    </xf>
    <xf numFmtId="2" fontId="9" fillId="0" borderId="29" xfId="0" applyNumberFormat="1" applyFont="1" applyBorder="1"/>
    <xf numFmtId="2" fontId="9" fillId="0" borderId="28" xfId="0" applyNumberFormat="1" applyFont="1" applyBorder="1"/>
    <xf numFmtId="2" fontId="9" fillId="0" borderId="26" xfId="0" applyNumberFormat="1" applyFont="1" applyBorder="1"/>
    <xf numFmtId="0" fontId="9" fillId="0" borderId="13" xfId="0" applyFont="1" applyBorder="1" applyAlignment="1">
      <alignment horizontal="right" vertical="center"/>
    </xf>
    <xf numFmtId="0" fontId="10" fillId="0" borderId="29" xfId="0" applyFont="1" applyBorder="1" applyAlignment="1">
      <alignment horizontal="left" vertical="center"/>
    </xf>
    <xf numFmtId="2" fontId="10" fillId="0" borderId="29" xfId="0" applyNumberFormat="1" applyFont="1" applyBorder="1" applyAlignment="1">
      <alignment vertical="center"/>
    </xf>
    <xf numFmtId="0" fontId="9" fillId="0" borderId="0" xfId="0" applyFont="1" applyFill="1" applyAlignment="1">
      <alignment horizontal="left"/>
    </xf>
    <xf numFmtId="0" fontId="9" fillId="0" borderId="0" xfId="0" applyFont="1" applyFill="1"/>
    <xf numFmtId="0" fontId="0" fillId="0" borderId="0" xfId="0" applyAlignment="1">
      <alignment horizontal="center" vertical="center"/>
    </xf>
    <xf numFmtId="165" fontId="0" fillId="0" borderId="0" xfId="0" applyNumberFormat="1"/>
    <xf numFmtId="0" fontId="0" fillId="0" borderId="17" xfId="0" applyBorder="1" applyAlignment="1">
      <alignment horizontal="center" vertical="center"/>
    </xf>
    <xf numFmtId="165" fontId="0" fillId="0" borderId="17" xfId="0" applyNumberFormat="1" applyBorder="1" applyAlignment="1">
      <alignment horizontal="center" vertical="center"/>
    </xf>
    <xf numFmtId="0" fontId="0" fillId="0" borderId="17" xfId="0" applyBorder="1"/>
    <xf numFmtId="165" fontId="0" fillId="0" borderId="17" xfId="0" applyNumberFormat="1" applyBorder="1"/>
    <xf numFmtId="0" fontId="9" fillId="0" borderId="17" xfId="0" applyFont="1" applyBorder="1"/>
    <xf numFmtId="0" fontId="9" fillId="0" borderId="0" xfId="0" applyFont="1"/>
    <xf numFmtId="0" fontId="9" fillId="0" borderId="25" xfId="0" applyFont="1" applyBorder="1"/>
    <xf numFmtId="0" fontId="9" fillId="0" borderId="26" xfId="0" applyFont="1" applyBorder="1"/>
    <xf numFmtId="0" fontId="9" fillId="0" borderId="26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17" xfId="0" applyFill="1" applyBorder="1"/>
    <xf numFmtId="0" fontId="0" fillId="0" borderId="31" xfId="0" applyBorder="1"/>
    <xf numFmtId="2" fontId="0" fillId="0" borderId="31" xfId="0" applyNumberFormat="1" applyBorder="1"/>
    <xf numFmtId="0" fontId="0" fillId="0" borderId="14" xfId="0" applyBorder="1" applyAlignment="1">
      <alignment horizontal="center"/>
    </xf>
    <xf numFmtId="0" fontId="9" fillId="0" borderId="17" xfId="0" applyFont="1" applyFill="1" applyBorder="1"/>
    <xf numFmtId="0" fontId="9" fillId="0" borderId="18" xfId="0" applyFont="1" applyBorder="1" applyAlignment="1"/>
    <xf numFmtId="0" fontId="9" fillId="0" borderId="31" xfId="0" applyFont="1" applyBorder="1" applyAlignment="1"/>
    <xf numFmtId="0" fontId="9" fillId="0" borderId="2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left"/>
    </xf>
    <xf numFmtId="4" fontId="9" fillId="0" borderId="21" xfId="0" applyNumberFormat="1" applyFont="1" applyBorder="1"/>
    <xf numFmtId="4" fontId="9" fillId="0" borderId="28" xfId="0" applyNumberFormat="1" applyFont="1" applyBorder="1"/>
    <xf numFmtId="0" fontId="8" fillId="0" borderId="13" xfId="0" applyFont="1" applyBorder="1"/>
    <xf numFmtId="0" fontId="8" fillId="0" borderId="29" xfId="0" applyFont="1" applyBorder="1"/>
    <xf numFmtId="2" fontId="8" fillId="2" borderId="30" xfId="0" applyNumberFormat="1" applyFont="1" applyFill="1" applyBorder="1"/>
    <xf numFmtId="4" fontId="8" fillId="2" borderId="30" xfId="0" applyNumberFormat="1" applyFont="1" applyFill="1" applyBorder="1"/>
    <xf numFmtId="2" fontId="9" fillId="0" borderId="26" xfId="0" applyNumberFormat="1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2" fontId="9" fillId="0" borderId="29" xfId="0" applyNumberFormat="1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43" fontId="14" fillId="4" borderId="13" xfId="2" applyFont="1" applyFill="1" applyBorder="1" applyAlignment="1">
      <alignment horizontal="right" vertical="center"/>
    </xf>
    <xf numFmtId="0" fontId="14" fillId="0" borderId="16" xfId="1" applyFont="1" applyBorder="1" applyAlignment="1">
      <alignment horizontal="center" vertical="center"/>
    </xf>
    <xf numFmtId="0" fontId="14" fillId="0" borderId="14" xfId="1" applyFont="1" applyBorder="1" applyAlignment="1">
      <alignment horizontal="center" vertical="center"/>
    </xf>
    <xf numFmtId="49" fontId="14" fillId="0" borderId="17" xfId="1" applyNumberFormat="1" applyFont="1" applyBorder="1" applyAlignment="1">
      <alignment horizontal="center" vertical="center"/>
    </xf>
    <xf numFmtId="0" fontId="14" fillId="0" borderId="17" xfId="1" applyFont="1" applyBorder="1" applyAlignment="1">
      <alignment horizontal="left" vertical="center" wrapText="1"/>
    </xf>
    <xf numFmtId="0" fontId="14" fillId="0" borderId="17" xfId="1" applyFont="1" applyBorder="1" applyAlignment="1">
      <alignment horizontal="center" vertical="center" wrapText="1"/>
    </xf>
    <xf numFmtId="43" fontId="14" fillId="0" borderId="17" xfId="2" applyFont="1" applyBorder="1" applyAlignment="1">
      <alignment horizontal="right" vertical="center"/>
    </xf>
    <xf numFmtId="43" fontId="14" fillId="0" borderId="18" xfId="2" applyFont="1" applyBorder="1" applyAlignment="1">
      <alignment horizontal="left" vertical="center" wrapText="1"/>
    </xf>
    <xf numFmtId="43" fontId="14" fillId="0" borderId="19" xfId="2" applyFont="1" applyBorder="1" applyAlignment="1">
      <alignment horizontal="right" vertical="center"/>
    </xf>
    <xf numFmtId="0" fontId="14" fillId="4" borderId="16" xfId="1" applyFont="1" applyFill="1" applyBorder="1" applyAlignment="1">
      <alignment horizontal="center" vertical="center"/>
    </xf>
    <xf numFmtId="0" fontId="14" fillId="4" borderId="17" xfId="1" applyFont="1" applyFill="1" applyBorder="1" applyAlignment="1">
      <alignment horizontal="center" vertical="center" wrapText="1"/>
    </xf>
    <xf numFmtId="43" fontId="14" fillId="4" borderId="18" xfId="2" applyFont="1" applyFill="1" applyBorder="1" applyAlignment="1">
      <alignment horizontal="left" vertical="center" wrapText="1"/>
    </xf>
    <xf numFmtId="43" fontId="14" fillId="4" borderId="17" xfId="2" applyFont="1" applyFill="1" applyBorder="1" applyAlignment="1">
      <alignment horizontal="right" vertical="center"/>
    </xf>
    <xf numFmtId="43" fontId="14" fillId="0" borderId="17" xfId="2" applyNumberFormat="1" applyFont="1" applyBorder="1" applyAlignment="1">
      <alignment horizontal="right" vertical="center"/>
    </xf>
    <xf numFmtId="4" fontId="14" fillId="0" borderId="17" xfId="1" applyNumberFormat="1" applyFont="1" applyBorder="1" applyAlignment="1">
      <alignment horizontal="right" vertical="center"/>
    </xf>
    <xf numFmtId="43" fontId="14" fillId="0" borderId="22" xfId="2" applyFont="1" applyBorder="1" applyAlignment="1">
      <alignment horizontal="left" vertical="center" wrapText="1"/>
    </xf>
    <xf numFmtId="10" fontId="16" fillId="4" borderId="2" xfId="4" applyNumberFormat="1" applyFont="1" applyFill="1" applyBorder="1" applyAlignment="1">
      <alignment vertical="center"/>
    </xf>
    <xf numFmtId="0" fontId="12" fillId="0" borderId="0" xfId="0" applyFont="1" applyAlignment="1">
      <alignment horizontal="center"/>
    </xf>
    <xf numFmtId="0" fontId="12" fillId="0" borderId="26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31" xfId="0" applyFont="1" applyBorder="1"/>
    <xf numFmtId="17" fontId="6" fillId="0" borderId="0" xfId="0" applyNumberFormat="1" applyFont="1" applyAlignment="1">
      <alignment horizontal="right"/>
    </xf>
    <xf numFmtId="0" fontId="6" fillId="0" borderId="0" xfId="0" applyFont="1" applyAlignment="1">
      <alignment wrapText="1"/>
    </xf>
    <xf numFmtId="0" fontId="13" fillId="0" borderId="0" xfId="0" applyFont="1" applyAlignment="1"/>
    <xf numFmtId="0" fontId="12" fillId="0" borderId="0" xfId="0" applyFont="1" applyAlignment="1"/>
    <xf numFmtId="0" fontId="12" fillId="0" borderId="0" xfId="0" applyFont="1"/>
    <xf numFmtId="0" fontId="12" fillId="0" borderId="0" xfId="0" applyFont="1" applyAlignment="1">
      <alignment wrapText="1"/>
    </xf>
    <xf numFmtId="9" fontId="12" fillId="0" borderId="4" xfId="4" applyFont="1" applyBorder="1" applyAlignment="1">
      <alignment wrapText="1"/>
    </xf>
    <xf numFmtId="9" fontId="12" fillId="0" borderId="4" xfId="4" applyFont="1" applyBorder="1"/>
    <xf numFmtId="9" fontId="12" fillId="0" borderId="6" xfId="0" applyNumberFormat="1" applyFont="1" applyBorder="1"/>
    <xf numFmtId="43" fontId="12" fillId="0" borderId="8" xfId="0" applyNumberFormat="1" applyFont="1" applyBorder="1" applyAlignment="1">
      <alignment wrapText="1"/>
    </xf>
    <xf numFmtId="43" fontId="12" fillId="0" borderId="10" xfId="0" applyNumberFormat="1" applyFont="1" applyBorder="1"/>
    <xf numFmtId="43" fontId="12" fillId="0" borderId="41" xfId="0" applyNumberFormat="1" applyFont="1" applyBorder="1" applyAlignment="1">
      <alignment wrapText="1"/>
    </xf>
    <xf numFmtId="43" fontId="12" fillId="0" borderId="42" xfId="0" applyNumberFormat="1" applyFont="1" applyBorder="1"/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 vertical="top" indent="1"/>
    </xf>
    <xf numFmtId="0" fontId="11" fillId="0" borderId="0" xfId="0" applyFont="1" applyBorder="1" applyAlignment="1">
      <alignment horizontal="center" wrapText="1"/>
    </xf>
    <xf numFmtId="0" fontId="9" fillId="0" borderId="0" xfId="0" applyFont="1" applyBorder="1"/>
    <xf numFmtId="2" fontId="9" fillId="0" borderId="0" xfId="0" applyNumberFormat="1" applyFont="1" applyBorder="1"/>
    <xf numFmtId="0" fontId="9" fillId="0" borderId="0" xfId="0" applyFont="1" applyBorder="1" applyAlignment="1">
      <alignment horizontal="left"/>
    </xf>
    <xf numFmtId="2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2" fillId="0" borderId="0" xfId="0" applyFont="1" applyBorder="1" applyAlignment="1"/>
    <xf numFmtId="4" fontId="10" fillId="0" borderId="26" xfId="0" applyNumberFormat="1" applyFont="1" applyBorder="1" applyAlignment="1">
      <alignment horizontal="right" wrapText="1"/>
    </xf>
    <xf numFmtId="4" fontId="10" fillId="0" borderId="0" xfId="0" applyNumberFormat="1" applyFont="1" applyBorder="1" applyAlignment="1">
      <alignment horizontal="right" wrapText="1"/>
    </xf>
    <xf numFmtId="0" fontId="15" fillId="4" borderId="23" xfId="1" applyFont="1" applyFill="1" applyBorder="1" applyAlignment="1">
      <alignment vertical="center"/>
    </xf>
    <xf numFmtId="0" fontId="15" fillId="4" borderId="1" xfId="1" applyFont="1" applyFill="1" applyBorder="1" applyAlignment="1">
      <alignment vertical="center"/>
    </xf>
    <xf numFmtId="164" fontId="16" fillId="4" borderId="2" xfId="3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16" fillId="4" borderId="1" xfId="1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17" fontId="6" fillId="0" borderId="0" xfId="0" applyNumberFormat="1" applyFont="1" applyAlignment="1">
      <alignment horizontal="right" vertical="center"/>
    </xf>
    <xf numFmtId="0" fontId="3" fillId="4" borderId="11" xfId="1" applyFont="1" applyFill="1" applyBorder="1" applyAlignment="1">
      <alignment horizontal="center" vertical="center"/>
    </xf>
    <xf numFmtId="49" fontId="3" fillId="4" borderId="12" xfId="1" applyNumberFormat="1" applyFont="1" applyFill="1" applyBorder="1" applyAlignment="1">
      <alignment horizontal="center" vertical="center"/>
    </xf>
    <xf numFmtId="0" fontId="3" fillId="4" borderId="12" xfId="1" applyFont="1" applyFill="1" applyBorder="1" applyAlignment="1">
      <alignment vertical="center" wrapText="1"/>
    </xf>
    <xf numFmtId="0" fontId="3" fillId="4" borderId="12" xfId="1" applyFont="1" applyFill="1" applyBorder="1" applyAlignment="1">
      <alignment horizontal="center" vertical="center"/>
    </xf>
    <xf numFmtId="4" fontId="3" fillId="4" borderId="12" xfId="1" applyNumberFormat="1" applyFont="1" applyFill="1" applyBorder="1" applyAlignment="1">
      <alignment vertical="center"/>
    </xf>
    <xf numFmtId="43" fontId="3" fillId="4" borderId="15" xfId="2" applyFont="1" applyFill="1" applyBorder="1" applyAlignment="1">
      <alignment vertical="center"/>
    </xf>
    <xf numFmtId="43" fontId="14" fillId="0" borderId="0" xfId="2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3" fontId="0" fillId="0" borderId="0" xfId="0" applyNumberFormat="1" applyFont="1" applyFill="1" applyBorder="1" applyAlignment="1">
      <alignment vertical="center"/>
    </xf>
    <xf numFmtId="49" fontId="3" fillId="4" borderId="17" xfId="1" applyNumberFormat="1" applyFont="1" applyFill="1" applyBorder="1" applyAlignment="1">
      <alignment horizontal="center" vertical="center"/>
    </xf>
    <xf numFmtId="0" fontId="3" fillId="4" borderId="17" xfId="1" applyFont="1" applyFill="1" applyBorder="1" applyAlignment="1">
      <alignment vertical="center" wrapText="1"/>
    </xf>
    <xf numFmtId="43" fontId="3" fillId="4" borderId="17" xfId="2" applyFont="1" applyFill="1" applyBorder="1" applyAlignment="1">
      <alignment vertical="center"/>
    </xf>
    <xf numFmtId="43" fontId="3" fillId="4" borderId="19" xfId="2" applyFont="1" applyFill="1" applyBorder="1" applyAlignment="1">
      <alignment vertical="center"/>
    </xf>
    <xf numFmtId="9" fontId="1" fillId="0" borderId="0" xfId="4" applyFont="1" applyFill="1" applyBorder="1" applyAlignment="1">
      <alignment vertical="center"/>
    </xf>
    <xf numFmtId="0" fontId="14" fillId="0" borderId="20" xfId="1" applyFont="1" applyBorder="1" applyAlignment="1">
      <alignment vertical="center"/>
    </xf>
    <xf numFmtId="0" fontId="14" fillId="0" borderId="21" xfId="1" applyFont="1" applyBorder="1" applyAlignment="1">
      <alignment vertical="center"/>
    </xf>
    <xf numFmtId="0" fontId="2" fillId="0" borderId="0" xfId="1" applyAlignment="1">
      <alignment vertical="center"/>
    </xf>
    <xf numFmtId="49" fontId="2" fillId="0" borderId="0" xfId="1" applyNumberFormat="1" applyAlignment="1">
      <alignment horizontal="center" vertical="center"/>
    </xf>
    <xf numFmtId="0" fontId="2" fillId="0" borderId="0" xfId="1" applyAlignment="1">
      <alignment horizontal="left" vertical="center" wrapText="1"/>
    </xf>
    <xf numFmtId="4" fontId="2" fillId="0" borderId="0" xfId="1" applyNumberFormat="1" applyAlignment="1">
      <alignment vertical="center"/>
    </xf>
    <xf numFmtId="4" fontId="0" fillId="0" borderId="0" xfId="0" applyNumberFormat="1" applyAlignment="1">
      <alignment vertical="center"/>
    </xf>
    <xf numFmtId="166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0" fontId="19" fillId="0" borderId="0" xfId="5" applyAlignment="1">
      <alignment vertical="center"/>
    </xf>
    <xf numFmtId="0" fontId="19" fillId="2" borderId="0" xfId="5" applyFill="1" applyAlignment="1">
      <alignment vertical="center"/>
    </xf>
    <xf numFmtId="0" fontId="23" fillId="0" borderId="0" xfId="5" applyFont="1" applyAlignment="1">
      <alignment horizontal="center" vertical="center"/>
    </xf>
    <xf numFmtId="0" fontId="23" fillId="2" borderId="0" xfId="5" applyFont="1" applyFill="1" applyAlignment="1">
      <alignment horizontal="center" vertical="center"/>
    </xf>
    <xf numFmtId="0" fontId="26" fillId="0" borderId="0" xfId="5" applyFont="1" applyAlignment="1">
      <alignment vertical="center"/>
    </xf>
    <xf numFmtId="0" fontId="24" fillId="0" borderId="0" xfId="5" applyFont="1" applyAlignment="1">
      <alignment horizontal="centerContinuous" vertical="center"/>
    </xf>
    <xf numFmtId="0" fontId="28" fillId="0" borderId="0" xfId="5" applyFont="1" applyAlignment="1">
      <alignment horizontal="left" vertical="center"/>
    </xf>
    <xf numFmtId="0" fontId="26" fillId="0" borderId="0" xfId="5" applyFont="1" applyAlignment="1">
      <alignment horizontal="center" vertical="center"/>
    </xf>
    <xf numFmtId="0" fontId="0" fillId="0" borderId="28" xfId="0" applyBorder="1" applyAlignment="1">
      <alignment vertical="center"/>
    </xf>
    <xf numFmtId="0" fontId="31" fillId="0" borderId="28" xfId="6" applyFont="1" applyBorder="1" applyAlignment="1">
      <alignment horizontal="center" vertical="center" wrapText="1"/>
    </xf>
    <xf numFmtId="0" fontId="27" fillId="0" borderId="28" xfId="6" applyFont="1" applyBorder="1" applyAlignment="1">
      <alignment horizontal="center" vertical="center" wrapText="1"/>
    </xf>
    <xf numFmtId="0" fontId="24" fillId="6" borderId="33" xfId="5" applyFont="1" applyFill="1" applyBorder="1" applyAlignment="1">
      <alignment horizontal="center" vertical="center" textRotation="90"/>
    </xf>
    <xf numFmtId="0" fontId="24" fillId="6" borderId="27" xfId="5" applyFont="1" applyFill="1" applyBorder="1" applyAlignment="1">
      <alignment horizontal="center" vertical="center"/>
    </xf>
    <xf numFmtId="0" fontId="24" fillId="6" borderId="28" xfId="5" applyFont="1" applyFill="1" applyBorder="1" applyAlignment="1">
      <alignment horizontal="center" vertical="center"/>
    </xf>
    <xf numFmtId="0" fontId="24" fillId="6" borderId="0" xfId="5" applyFont="1" applyFill="1" applyAlignment="1">
      <alignment horizontal="center" vertical="center" textRotation="90"/>
    </xf>
    <xf numFmtId="0" fontId="27" fillId="0" borderId="30" xfId="6" applyFont="1" applyBorder="1" applyAlignment="1">
      <alignment horizontal="center" vertical="center" wrapText="1"/>
    </xf>
    <xf numFmtId="4" fontId="24" fillId="6" borderId="28" xfId="5" applyNumberFormat="1" applyFont="1" applyFill="1" applyBorder="1" applyAlignment="1">
      <alignment horizontal="center" vertical="center"/>
    </xf>
    <xf numFmtId="0" fontId="26" fillId="0" borderId="43" xfId="5" applyFont="1" applyBorder="1" applyAlignment="1">
      <alignment horizontal="center" vertical="center"/>
    </xf>
    <xf numFmtId="10" fontId="26" fillId="0" borderId="45" xfId="4" applyNumberFormat="1" applyFont="1" applyBorder="1" applyAlignment="1" applyProtection="1">
      <alignment horizontal="center" vertical="center" wrapText="1"/>
      <protection hidden="1"/>
    </xf>
    <xf numFmtId="0" fontId="0" fillId="2" borderId="0" xfId="0" applyFill="1" applyAlignment="1">
      <alignment vertical="center"/>
    </xf>
    <xf numFmtId="0" fontId="26" fillId="0" borderId="30" xfId="5" applyFont="1" applyBorder="1" applyAlignment="1">
      <alignment horizontal="center" vertical="center"/>
    </xf>
    <xf numFmtId="167" fontId="26" fillId="0" borderId="46" xfId="9" applyNumberFormat="1" applyFont="1" applyBorder="1" applyAlignment="1" applyProtection="1">
      <alignment horizontal="center" vertical="center" wrapText="1"/>
      <protection hidden="1"/>
    </xf>
    <xf numFmtId="10" fontId="26" fillId="0" borderId="44" xfId="4" applyNumberFormat="1" applyFont="1" applyBorder="1" applyAlignment="1" applyProtection="1">
      <alignment vertical="center" wrapText="1"/>
      <protection hidden="1"/>
    </xf>
    <xf numFmtId="0" fontId="0" fillId="0" borderId="0" xfId="0" applyAlignment="1">
      <alignment vertical="center" wrapText="1"/>
    </xf>
    <xf numFmtId="4" fontId="24" fillId="1" borderId="24" xfId="5" applyNumberFormat="1" applyFont="1" applyFill="1" applyBorder="1" applyAlignment="1">
      <alignment horizontal="center" vertical="center"/>
    </xf>
    <xf numFmtId="0" fontId="26" fillId="2" borderId="0" xfId="5" applyFont="1" applyFill="1" applyAlignment="1">
      <alignment horizontal="center" vertical="center"/>
    </xf>
    <xf numFmtId="0" fontId="24" fillId="2" borderId="0" xfId="5" applyFont="1" applyFill="1" applyAlignment="1">
      <alignment horizontal="right" vertical="center"/>
    </xf>
    <xf numFmtId="167" fontId="26" fillId="0" borderId="0" xfId="7" applyNumberFormat="1" applyFont="1" applyBorder="1" applyAlignment="1" applyProtection="1">
      <alignment horizontal="center" vertical="center"/>
    </xf>
    <xf numFmtId="0" fontId="24" fillId="0" borderId="0" xfId="5" applyFont="1" applyAlignment="1">
      <alignment vertical="center" wrapText="1"/>
    </xf>
    <xf numFmtId="0" fontId="26" fillId="0" borderId="0" xfId="5" applyFont="1" applyAlignment="1">
      <alignment vertical="center" wrapText="1"/>
    </xf>
    <xf numFmtId="0" fontId="19" fillId="0" borderId="0" xfId="5" applyAlignment="1">
      <alignment horizontal="left" vertical="center"/>
    </xf>
    <xf numFmtId="0" fontId="12" fillId="0" borderId="0" xfId="0" applyFont="1" applyAlignment="1">
      <alignment horizontal="left"/>
    </xf>
    <xf numFmtId="49" fontId="35" fillId="0" borderId="17" xfId="5" applyNumberFormat="1" applyFont="1" applyBorder="1" applyAlignment="1" applyProtection="1">
      <alignment vertical="center" wrapText="1"/>
      <protection locked="0"/>
    </xf>
    <xf numFmtId="49" fontId="23" fillId="0" borderId="17" xfId="5" applyNumberFormat="1" applyFont="1" applyBorder="1" applyAlignment="1" applyProtection="1">
      <alignment vertical="center" wrapText="1"/>
      <protection locked="0"/>
    </xf>
    <xf numFmtId="0" fontId="25" fillId="0" borderId="0" xfId="5" applyFont="1" applyAlignment="1">
      <alignment vertical="center"/>
    </xf>
    <xf numFmtId="0" fontId="25" fillId="6" borderId="17" xfId="5" applyFont="1" applyFill="1" applyBorder="1" applyAlignment="1">
      <alignment horizontal="center" vertical="center"/>
    </xf>
    <xf numFmtId="14" fontId="32" fillId="0" borderId="29" xfId="5" applyNumberFormat="1" applyFont="1" applyBorder="1" applyAlignment="1">
      <alignment vertical="center"/>
    </xf>
    <xf numFmtId="168" fontId="32" fillId="0" borderId="17" xfId="5" applyNumberFormat="1" applyFont="1" applyBorder="1" applyAlignment="1" applyProtection="1">
      <alignment horizontal="center" vertical="center" wrapText="1"/>
      <protection locked="0"/>
    </xf>
    <xf numFmtId="0" fontId="32" fillId="0" borderId="0" xfId="6" applyFont="1" applyAlignment="1">
      <alignment horizontal="center" vertical="center" wrapText="1"/>
    </xf>
    <xf numFmtId="0" fontId="32" fillId="0" borderId="0" xfId="6" applyFont="1" applyAlignment="1" applyProtection="1">
      <alignment horizontal="center" vertical="center" wrapText="1"/>
      <protection locked="0"/>
    </xf>
    <xf numFmtId="0" fontId="32" fillId="0" borderId="29" xfId="6" applyFont="1" applyBorder="1" applyAlignment="1">
      <alignment horizontal="center" vertical="center" wrapText="1"/>
    </xf>
    <xf numFmtId="0" fontId="35" fillId="0" borderId="31" xfId="6" applyFont="1" applyBorder="1" applyAlignment="1" applyProtection="1">
      <alignment horizontal="center" vertical="center" wrapText="1"/>
      <protection hidden="1"/>
    </xf>
    <xf numFmtId="0" fontId="23" fillId="0" borderId="43" xfId="5" applyFont="1" applyBorder="1" applyAlignment="1">
      <alignment horizontal="center" vertical="center"/>
    </xf>
    <xf numFmtId="10" fontId="23" fillId="0" borderId="47" xfId="4" applyNumberFormat="1" applyFont="1" applyBorder="1" applyAlignment="1" applyProtection="1">
      <alignment vertical="center" wrapText="1"/>
      <protection hidden="1"/>
    </xf>
    <xf numFmtId="10" fontId="23" fillId="0" borderId="45" xfId="4" applyNumberFormat="1" applyFont="1" applyBorder="1" applyAlignment="1" applyProtection="1">
      <alignment horizontal="center" vertical="center" wrapText="1"/>
      <protection hidden="1"/>
    </xf>
    <xf numFmtId="0" fontId="23" fillId="0" borderId="30" xfId="5" applyFont="1" applyBorder="1" applyAlignment="1">
      <alignment horizontal="center" vertical="center"/>
    </xf>
    <xf numFmtId="167" fontId="23" fillId="0" borderId="46" xfId="9" applyNumberFormat="1" applyFont="1" applyBorder="1" applyAlignment="1" applyProtection="1">
      <alignment horizontal="center" vertical="center" wrapText="1"/>
      <protection hidden="1"/>
    </xf>
    <xf numFmtId="10" fontId="23" fillId="0" borderId="44" xfId="4" applyNumberFormat="1" applyFont="1" applyBorder="1" applyAlignment="1" applyProtection="1">
      <alignment vertical="center" wrapText="1"/>
      <protection hidden="1"/>
    </xf>
    <xf numFmtId="44" fontId="23" fillId="0" borderId="45" xfId="9" applyFont="1" applyFill="1" applyBorder="1" applyAlignment="1" applyProtection="1">
      <alignment horizontal="center" vertical="center" wrapText="1"/>
      <protection hidden="1"/>
    </xf>
    <xf numFmtId="44" fontId="35" fillId="0" borderId="45" xfId="9" applyFont="1" applyFill="1" applyBorder="1" applyAlignment="1" applyProtection="1">
      <alignment horizontal="center" vertical="center" wrapText="1"/>
      <protection hidden="1"/>
    </xf>
    <xf numFmtId="10" fontId="35" fillId="0" borderId="17" xfId="4" applyNumberFormat="1" applyFont="1" applyBorder="1" applyAlignment="1" applyProtection="1">
      <alignment horizontal="center" vertical="center" wrapText="1"/>
      <protection hidden="1"/>
    </xf>
    <xf numFmtId="0" fontId="19" fillId="0" borderId="0" xfId="5" applyBorder="1" applyAlignment="1">
      <alignment horizontal="left" vertical="center"/>
    </xf>
    <xf numFmtId="0" fontId="0" fillId="0" borderId="29" xfId="0" applyBorder="1" applyAlignment="1">
      <alignment vertical="center"/>
    </xf>
    <xf numFmtId="43" fontId="12" fillId="0" borderId="0" xfId="8" applyFont="1"/>
    <xf numFmtId="0" fontId="12" fillId="7" borderId="0" xfId="0" applyFont="1" applyFill="1"/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4" fontId="4" fillId="3" borderId="6" xfId="2" applyNumberFormat="1" applyFont="1" applyFill="1" applyBorder="1" applyAlignment="1">
      <alignment horizontal="center" vertical="center"/>
    </xf>
    <xf numFmtId="4" fontId="4" fillId="3" borderId="10" xfId="2" applyNumberFormat="1" applyFont="1" applyFill="1" applyBorder="1" applyAlignment="1">
      <alignment horizontal="center" vertical="center"/>
    </xf>
    <xf numFmtId="0" fontId="16" fillId="4" borderId="1" xfId="1" applyFont="1" applyFill="1" applyBorder="1" applyAlignment="1">
      <alignment horizontal="left" vertical="center" wrapText="1"/>
    </xf>
    <xf numFmtId="49" fontId="4" fillId="3" borderId="3" xfId="1" applyNumberFormat="1" applyFont="1" applyFill="1" applyBorder="1" applyAlignment="1">
      <alignment horizontal="center" vertical="center"/>
    </xf>
    <xf numFmtId="49" fontId="4" fillId="3" borderId="7" xfId="1" applyNumberFormat="1" applyFont="1" applyFill="1" applyBorder="1" applyAlignment="1">
      <alignment horizontal="center" vertical="center"/>
    </xf>
    <xf numFmtId="49" fontId="4" fillId="3" borderId="4" xfId="1" applyNumberFormat="1" applyFont="1" applyFill="1" applyBorder="1" applyAlignment="1">
      <alignment horizontal="center" vertical="center"/>
    </xf>
    <xf numFmtId="49" fontId="4" fillId="3" borderId="8" xfId="1" applyNumberFormat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 wrapText="1"/>
    </xf>
    <xf numFmtId="0" fontId="4" fillId="3" borderId="8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/>
    </xf>
    <xf numFmtId="0" fontId="4" fillId="3" borderId="8" xfId="1" applyFont="1" applyFill="1" applyBorder="1" applyAlignment="1">
      <alignment horizontal="center" vertical="center"/>
    </xf>
    <xf numFmtId="4" fontId="4" fillId="3" borderId="4" xfId="2" applyNumberFormat="1" applyFont="1" applyFill="1" applyBorder="1" applyAlignment="1">
      <alignment horizontal="center" vertical="center"/>
    </xf>
    <xf numFmtId="4" fontId="4" fillId="3" borderId="8" xfId="2" applyNumberFormat="1" applyFont="1" applyFill="1" applyBorder="1" applyAlignment="1">
      <alignment horizontal="center" vertical="center"/>
    </xf>
    <xf numFmtId="4" fontId="4" fillId="3" borderId="5" xfId="2" applyNumberFormat="1" applyFont="1" applyFill="1" applyBorder="1" applyAlignment="1">
      <alignment horizontal="center" vertical="center"/>
    </xf>
    <xf numFmtId="4" fontId="4" fillId="3" borderId="9" xfId="2" applyNumberFormat="1" applyFont="1" applyFill="1" applyBorder="1" applyAlignment="1">
      <alignment horizontal="center" vertical="center"/>
    </xf>
    <xf numFmtId="0" fontId="17" fillId="0" borderId="4" xfId="1" applyFont="1" applyFill="1" applyBorder="1" applyAlignment="1">
      <alignment horizontal="left" vertical="center" wrapText="1"/>
    </xf>
    <xf numFmtId="0" fontId="17" fillId="0" borderId="8" xfId="1" applyFont="1" applyFill="1" applyBorder="1" applyAlignment="1">
      <alignment horizontal="left" vertical="center" wrapText="1"/>
    </xf>
    <xf numFmtId="49" fontId="17" fillId="0" borderId="3" xfId="1" applyNumberFormat="1" applyFont="1" applyFill="1" applyBorder="1" applyAlignment="1">
      <alignment horizontal="left" vertical="center"/>
    </xf>
    <xf numFmtId="49" fontId="17" fillId="0" borderId="7" xfId="1" applyNumberFormat="1" applyFont="1" applyFill="1" applyBorder="1" applyAlignment="1">
      <alignment horizontal="left" vertical="center"/>
    </xf>
    <xf numFmtId="0" fontId="12" fillId="0" borderId="36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8" fillId="0" borderId="40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0" borderId="37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34" xfId="0" applyFont="1" applyBorder="1" applyAlignment="1">
      <alignment horizontal="justify" wrapText="1"/>
    </xf>
    <xf numFmtId="0" fontId="12" fillId="0" borderId="35" xfId="0" applyFont="1" applyBorder="1" applyAlignment="1">
      <alignment horizontal="justify" wrapText="1"/>
    </xf>
    <xf numFmtId="0" fontId="12" fillId="0" borderId="38" xfId="0" applyFont="1" applyBorder="1" applyAlignment="1">
      <alignment horizontal="justify" wrapText="1"/>
    </xf>
    <xf numFmtId="0" fontId="12" fillId="0" borderId="32" xfId="0" applyFont="1" applyBorder="1" applyAlignment="1">
      <alignment horizontal="justify" wrapText="1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35" fillId="6" borderId="17" xfId="5" applyFont="1" applyFill="1" applyBorder="1" applyAlignment="1">
      <alignment horizontal="left" vertical="center" indent="6"/>
    </xf>
    <xf numFmtId="44" fontId="23" fillId="0" borderId="18" xfId="9" applyFont="1" applyBorder="1" applyAlignment="1" applyProtection="1">
      <alignment horizontal="center" vertical="center" wrapText="1"/>
      <protection hidden="1"/>
    </xf>
    <xf numFmtId="44" fontId="23" fillId="0" borderId="31" xfId="9" applyFont="1" applyBorder="1" applyAlignment="1" applyProtection="1">
      <alignment horizontal="center" vertical="center" wrapText="1"/>
      <protection hidden="1"/>
    </xf>
    <xf numFmtId="44" fontId="23" fillId="0" borderId="14" xfId="9" applyFont="1" applyBorder="1" applyAlignment="1" applyProtection="1">
      <alignment horizontal="center" vertical="center" wrapText="1"/>
      <protection hidden="1"/>
    </xf>
    <xf numFmtId="0" fontId="35" fillId="6" borderId="17" xfId="5" applyFont="1" applyFill="1" applyBorder="1" applyAlignment="1">
      <alignment horizontal="left" vertical="center" wrapText="1" indent="6"/>
    </xf>
    <xf numFmtId="10" fontId="23" fillId="0" borderId="18" xfId="4" applyNumberFormat="1" applyFont="1" applyBorder="1" applyAlignment="1" applyProtection="1">
      <alignment horizontal="center" vertical="center" wrapText="1"/>
      <protection hidden="1"/>
    </xf>
    <xf numFmtId="10" fontId="23" fillId="0" borderId="31" xfId="4" applyNumberFormat="1" applyFont="1" applyBorder="1" applyAlignment="1" applyProtection="1">
      <alignment horizontal="center" vertical="center" wrapText="1"/>
      <protection hidden="1"/>
    </xf>
    <xf numFmtId="10" fontId="23" fillId="0" borderId="14" xfId="4" applyNumberFormat="1" applyFont="1" applyBorder="1" applyAlignment="1" applyProtection="1">
      <alignment horizontal="center" vertical="center" wrapText="1"/>
      <protection hidden="1"/>
    </xf>
    <xf numFmtId="0" fontId="33" fillId="0" borderId="0" xfId="5" applyFont="1" applyAlignment="1">
      <alignment horizontal="left" vertical="center" wrapText="1"/>
    </xf>
    <xf numFmtId="0" fontId="19" fillId="0" borderId="0" xfId="5" applyAlignment="1">
      <alignment horizontal="left" vertical="center"/>
    </xf>
    <xf numFmtId="4" fontId="24" fillId="1" borderId="18" xfId="5" applyNumberFormat="1" applyFont="1" applyFill="1" applyBorder="1" applyAlignment="1">
      <alignment horizontal="center" vertical="center"/>
    </xf>
    <xf numFmtId="4" fontId="24" fillId="1" borderId="31" xfId="5" applyNumberFormat="1" applyFont="1" applyFill="1" applyBorder="1" applyAlignment="1">
      <alignment horizontal="center" vertical="center"/>
    </xf>
    <xf numFmtId="4" fontId="24" fillId="1" borderId="14" xfId="5" applyNumberFormat="1" applyFont="1" applyFill="1" applyBorder="1" applyAlignment="1">
      <alignment horizontal="center" vertical="center"/>
    </xf>
    <xf numFmtId="44" fontId="23" fillId="0" borderId="18" xfId="9" applyFont="1" applyBorder="1" applyAlignment="1" applyProtection="1">
      <alignment horizontal="center" vertical="center" wrapText="1"/>
      <protection locked="0"/>
    </xf>
    <xf numFmtId="44" fontId="23" fillId="0" borderId="31" xfId="9" applyFont="1" applyBorder="1" applyAlignment="1" applyProtection="1">
      <alignment horizontal="center" vertical="center" wrapText="1"/>
      <protection locked="0"/>
    </xf>
    <xf numFmtId="44" fontId="23" fillId="0" borderId="14" xfId="9" applyFont="1" applyBorder="1" applyAlignment="1" applyProtection="1">
      <alignment horizontal="center" vertical="center" wrapText="1"/>
      <protection locked="0"/>
    </xf>
    <xf numFmtId="0" fontId="24" fillId="0" borderId="24" xfId="5" applyFont="1" applyBorder="1" applyAlignment="1">
      <alignment horizontal="center" vertical="center"/>
    </xf>
    <xf numFmtId="0" fontId="24" fillId="0" borderId="12" xfId="5" applyFont="1" applyBorder="1" applyAlignment="1">
      <alignment horizontal="center" vertical="center"/>
    </xf>
    <xf numFmtId="0" fontId="26" fillId="0" borderId="25" xfId="5" applyFont="1" applyBorder="1" applyAlignment="1" applyProtection="1">
      <alignment horizontal="left" vertical="center" wrapText="1" indent="1"/>
      <protection locked="0"/>
    </xf>
    <xf numFmtId="0" fontId="26" fillId="0" borderId="21" xfId="5" applyFont="1" applyBorder="1" applyAlignment="1" applyProtection="1">
      <alignment horizontal="left" vertical="center" wrapText="1" indent="1"/>
      <protection locked="0"/>
    </xf>
    <xf numFmtId="0" fontId="26" fillId="0" borderId="13" xfId="5" applyFont="1" applyBorder="1" applyAlignment="1" applyProtection="1">
      <alignment horizontal="left" vertical="center" wrapText="1" indent="1"/>
      <protection locked="0"/>
    </xf>
    <xf numFmtId="0" fontId="26" fillId="0" borderId="30" xfId="5" applyFont="1" applyBorder="1" applyAlignment="1" applyProtection="1">
      <alignment horizontal="left" vertical="center" wrapText="1" indent="1"/>
      <protection locked="0"/>
    </xf>
    <xf numFmtId="10" fontId="26" fillId="0" borderId="48" xfId="4" applyNumberFormat="1" applyFont="1" applyBorder="1" applyAlignment="1" applyProtection="1">
      <alignment horizontal="center" vertical="center" wrapText="1"/>
      <protection hidden="1"/>
    </xf>
    <xf numFmtId="10" fontId="26" fillId="0" borderId="43" xfId="4" applyNumberFormat="1" applyFont="1" applyBorder="1" applyAlignment="1" applyProtection="1">
      <alignment horizontal="center" vertical="center" wrapText="1"/>
      <protection hidden="1"/>
    </xf>
    <xf numFmtId="43" fontId="26" fillId="0" borderId="49" xfId="8" applyFont="1" applyBorder="1" applyAlignment="1" applyProtection="1">
      <alignment horizontal="center" vertical="center" wrapText="1"/>
      <protection locked="0"/>
    </xf>
    <xf numFmtId="43" fontId="26" fillId="0" borderId="50" xfId="8" applyFont="1" applyBorder="1" applyAlignment="1" applyProtection="1">
      <alignment horizontal="center" vertical="center" wrapText="1"/>
      <protection locked="0"/>
    </xf>
    <xf numFmtId="43" fontId="26" fillId="0" borderId="51" xfId="8" applyFont="1" applyBorder="1" applyAlignment="1" applyProtection="1">
      <alignment horizontal="center" vertical="center" wrapText="1"/>
      <protection locked="0"/>
    </xf>
    <xf numFmtId="0" fontId="35" fillId="0" borderId="24" xfId="5" applyFont="1" applyBorder="1" applyAlignment="1">
      <alignment horizontal="center" vertical="center"/>
    </xf>
    <xf numFmtId="0" fontId="35" fillId="0" borderId="12" xfId="5" applyFont="1" applyBorder="1" applyAlignment="1">
      <alignment horizontal="center" vertical="center"/>
    </xf>
    <xf numFmtId="0" fontId="23" fillId="0" borderId="25" xfId="5" applyFont="1" applyBorder="1" applyAlignment="1" applyProtection="1">
      <alignment horizontal="left" vertical="center" wrapText="1" indent="1"/>
      <protection locked="0"/>
    </xf>
    <xf numFmtId="0" fontId="23" fillId="0" borderId="21" xfId="5" applyFont="1" applyBorder="1" applyAlignment="1" applyProtection="1">
      <alignment horizontal="left" vertical="center" wrapText="1" indent="1"/>
      <protection locked="0"/>
    </xf>
    <xf numFmtId="0" fontId="23" fillId="0" borderId="13" xfId="5" applyFont="1" applyBorder="1" applyAlignment="1" applyProtection="1">
      <alignment horizontal="left" vertical="center" wrapText="1" indent="1"/>
      <protection locked="0"/>
    </xf>
    <xf numFmtId="0" fontId="23" fillId="0" borderId="30" xfId="5" applyFont="1" applyBorder="1" applyAlignment="1" applyProtection="1">
      <alignment horizontal="left" vertical="center" wrapText="1" indent="1"/>
      <protection locked="0"/>
    </xf>
    <xf numFmtId="10" fontId="23" fillId="0" borderId="48" xfId="4" applyNumberFormat="1" applyFont="1" applyBorder="1" applyAlignment="1" applyProtection="1">
      <alignment horizontal="center" vertical="center" wrapText="1"/>
      <protection hidden="1"/>
    </xf>
    <xf numFmtId="10" fontId="23" fillId="0" borderId="43" xfId="4" applyNumberFormat="1" applyFont="1" applyBorder="1" applyAlignment="1" applyProtection="1">
      <alignment horizontal="center" vertical="center" wrapText="1"/>
      <protection hidden="1"/>
    </xf>
    <xf numFmtId="43" fontId="23" fillId="0" borderId="49" xfId="8" applyFont="1" applyBorder="1" applyAlignment="1" applyProtection="1">
      <alignment horizontal="center" vertical="center" wrapText="1"/>
      <protection locked="0"/>
    </xf>
    <xf numFmtId="43" fontId="23" fillId="0" borderId="50" xfId="8" applyFont="1" applyBorder="1" applyAlignment="1" applyProtection="1">
      <alignment horizontal="center" vertical="center" wrapText="1"/>
      <protection locked="0"/>
    </xf>
    <xf numFmtId="43" fontId="23" fillId="0" borderId="51" xfId="8" applyFont="1" applyBorder="1" applyAlignment="1" applyProtection="1">
      <alignment horizontal="center" vertical="center" wrapText="1"/>
      <protection locked="0"/>
    </xf>
    <xf numFmtId="0" fontId="32" fillId="0" borderId="13" xfId="6" applyFont="1" applyBorder="1" applyAlignment="1">
      <alignment horizontal="left" vertical="center" wrapText="1" indent="1"/>
    </xf>
    <xf numFmtId="0" fontId="32" fillId="0" borderId="29" xfId="6" applyFont="1" applyBorder="1" applyAlignment="1">
      <alignment horizontal="left" vertical="center" wrapText="1" indent="1"/>
    </xf>
    <xf numFmtId="0" fontId="32" fillId="0" borderId="29" xfId="5" applyFont="1" applyBorder="1" applyAlignment="1">
      <alignment horizontal="left" vertical="center" wrapText="1"/>
    </xf>
    <xf numFmtId="0" fontId="32" fillId="0" borderId="31" xfId="5" applyFont="1" applyBorder="1" applyAlignment="1">
      <alignment horizontal="left" vertical="center" wrapText="1"/>
    </xf>
    <xf numFmtId="0" fontId="32" fillId="0" borderId="14" xfId="5" applyFont="1" applyBorder="1" applyAlignment="1">
      <alignment horizontal="left" vertical="center" wrapText="1"/>
    </xf>
    <xf numFmtId="0" fontId="25" fillId="6" borderId="17" xfId="5" applyFont="1" applyFill="1" applyBorder="1" applyAlignment="1">
      <alignment horizontal="left" vertical="center"/>
    </xf>
    <xf numFmtId="0" fontId="25" fillId="0" borderId="17" xfId="5" applyFont="1" applyBorder="1" applyAlignment="1">
      <alignment horizontal="center" vertical="center" wrapText="1"/>
    </xf>
    <xf numFmtId="0" fontId="25" fillId="0" borderId="18" xfId="5" applyFont="1" applyBorder="1" applyAlignment="1">
      <alignment horizontal="center" vertical="center" wrapText="1"/>
    </xf>
    <xf numFmtId="0" fontId="32" fillId="0" borderId="31" xfId="5" applyFont="1" applyBorder="1" applyAlignment="1" applyProtection="1">
      <alignment horizontal="left" vertical="center" wrapText="1"/>
      <protection hidden="1"/>
    </xf>
    <xf numFmtId="0" fontId="32" fillId="0" borderId="14" xfId="5" applyFont="1" applyBorder="1" applyAlignment="1" applyProtection="1">
      <alignment horizontal="left" vertical="center" wrapText="1"/>
      <protection hidden="1"/>
    </xf>
    <xf numFmtId="0" fontId="24" fillId="6" borderId="24" xfId="5" applyFont="1" applyFill="1" applyBorder="1" applyAlignment="1">
      <alignment horizontal="center" vertical="center" textRotation="90"/>
    </xf>
    <xf numFmtId="0" fontId="24" fillId="6" borderId="33" xfId="5" applyFont="1" applyFill="1" applyBorder="1" applyAlignment="1">
      <alignment horizontal="center" vertical="center" textRotation="90"/>
    </xf>
    <xf numFmtId="0" fontId="24" fillId="6" borderId="25" xfId="5" applyFont="1" applyFill="1" applyBorder="1" applyAlignment="1">
      <alignment horizontal="center" vertical="center"/>
    </xf>
    <xf numFmtId="0" fontId="24" fillId="6" borderId="21" xfId="5" applyFont="1" applyFill="1" applyBorder="1" applyAlignment="1">
      <alignment horizontal="center" vertical="center"/>
    </xf>
    <xf numFmtId="0" fontId="24" fillId="6" borderId="27" xfId="5" applyFont="1" applyFill="1" applyBorder="1" applyAlignment="1">
      <alignment horizontal="center" vertical="center"/>
    </xf>
    <xf numFmtId="0" fontId="24" fillId="6" borderId="28" xfId="5" applyFont="1" applyFill="1" applyBorder="1" applyAlignment="1">
      <alignment horizontal="center" vertical="center"/>
    </xf>
    <xf numFmtId="0" fontId="24" fillId="6" borderId="27" xfId="5" applyFont="1" applyFill="1" applyBorder="1" applyAlignment="1">
      <alignment horizontal="center" vertical="center" textRotation="90"/>
    </xf>
    <xf numFmtId="0" fontId="24" fillId="6" borderId="31" xfId="5" applyFont="1" applyFill="1" applyBorder="1" applyAlignment="1">
      <alignment horizontal="center" vertical="center"/>
    </xf>
    <xf numFmtId="0" fontId="24" fillId="6" borderId="14" xfId="5" applyFont="1" applyFill="1" applyBorder="1" applyAlignment="1">
      <alignment horizontal="center" vertical="center"/>
    </xf>
    <xf numFmtId="0" fontId="32" fillId="0" borderId="27" xfId="6" applyFont="1" applyBorder="1" applyAlignment="1">
      <alignment horizontal="left" vertical="center" wrapText="1" indent="1"/>
    </xf>
    <xf numFmtId="0" fontId="32" fillId="0" borderId="0" xfId="6" applyFont="1" applyAlignment="1">
      <alignment horizontal="left" vertical="center" wrapText="1" indent="1"/>
    </xf>
    <xf numFmtId="0" fontId="36" fillId="6" borderId="17" xfId="5" applyFont="1" applyFill="1" applyBorder="1" applyAlignment="1">
      <alignment horizontal="center" vertical="center" textRotation="90" wrapText="1"/>
    </xf>
    <xf numFmtId="0" fontId="21" fillId="0" borderId="0" xfId="5" applyFont="1" applyAlignment="1" applyProtection="1">
      <alignment horizontal="center" vertical="center" wrapText="1"/>
      <protection locked="0"/>
    </xf>
    <xf numFmtId="0" fontId="22" fillId="0" borderId="0" xfId="5" applyFont="1" applyAlignment="1">
      <alignment horizontal="center" vertical="center"/>
    </xf>
    <xf numFmtId="0" fontId="24" fillId="0" borderId="0" xfId="5" applyFont="1" applyAlignment="1">
      <alignment horizontal="center" vertical="center"/>
    </xf>
    <xf numFmtId="0" fontId="25" fillId="6" borderId="17" xfId="5" applyFont="1" applyFill="1" applyBorder="1" applyAlignment="1">
      <alignment horizontal="center" vertical="center" wrapText="1"/>
    </xf>
    <xf numFmtId="0" fontId="32" fillId="0" borderId="17" xfId="5" applyFont="1" applyBorder="1" applyAlignment="1" applyProtection="1">
      <alignment horizontal="center" vertical="center" wrapText="1"/>
      <protection locked="0"/>
    </xf>
    <xf numFmtId="4" fontId="24" fillId="6" borderId="24" xfId="5" applyNumberFormat="1" applyFont="1" applyFill="1" applyBorder="1" applyAlignment="1">
      <alignment horizontal="center" vertical="center"/>
    </xf>
    <xf numFmtId="4" fontId="24" fillId="6" borderId="33" xfId="5" applyNumberFormat="1" applyFont="1" applyFill="1" applyBorder="1" applyAlignment="1">
      <alignment horizontal="center" vertical="center"/>
    </xf>
    <xf numFmtId="4" fontId="24" fillId="6" borderId="28" xfId="5" applyNumberFormat="1" applyFont="1" applyFill="1" applyBorder="1" applyAlignment="1">
      <alignment horizontal="center" vertical="center"/>
    </xf>
    <xf numFmtId="0" fontId="30" fillId="0" borderId="31" xfId="5" applyFont="1" applyBorder="1" applyAlignment="1">
      <alignment horizontal="center" vertical="center" wrapText="1"/>
    </xf>
    <xf numFmtId="0" fontId="30" fillId="0" borderId="14" xfId="5" applyFont="1" applyBorder="1" applyAlignment="1">
      <alignment horizontal="center" vertical="center" wrapText="1"/>
    </xf>
    <xf numFmtId="0" fontId="35" fillId="0" borderId="18" xfId="6" applyFont="1" applyBorder="1" applyAlignment="1">
      <alignment horizontal="right" vertical="center" wrapText="1"/>
    </xf>
    <xf numFmtId="0" fontId="35" fillId="0" borderId="31" xfId="6" applyFont="1" applyBorder="1" applyAlignment="1">
      <alignment horizontal="right" vertical="center" wrapText="1"/>
    </xf>
    <xf numFmtId="0" fontId="35" fillId="0" borderId="31" xfId="6" applyFont="1" applyBorder="1" applyAlignment="1">
      <alignment horizontal="left" vertical="center" wrapText="1"/>
    </xf>
    <xf numFmtId="0" fontId="35" fillId="0" borderId="14" xfId="6" applyFont="1" applyBorder="1" applyAlignment="1">
      <alignment horizontal="left" vertical="center" wrapText="1"/>
    </xf>
    <xf numFmtId="0" fontId="9" fillId="0" borderId="18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8" xfId="0" applyFont="1" applyBorder="1"/>
    <xf numFmtId="0" fontId="9" fillId="0" borderId="31" xfId="0" applyFont="1" applyBorder="1"/>
    <xf numFmtId="0" fontId="9" fillId="0" borderId="17" xfId="0" applyFont="1" applyBorder="1" applyAlignment="1">
      <alignment horizontal="center"/>
    </xf>
    <xf numFmtId="0" fontId="9" fillId="5" borderId="17" xfId="0" applyFont="1" applyFill="1" applyBorder="1" applyAlignment="1">
      <alignment horizontal="center"/>
    </xf>
    <xf numFmtId="0" fontId="9" fillId="0" borderId="27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8" fillId="0" borderId="18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49" fontId="10" fillId="0" borderId="18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0" fontId="10" fillId="0" borderId="24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wrapText="1"/>
    </xf>
    <xf numFmtId="0" fontId="8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2" fontId="9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2" fontId="9" fillId="0" borderId="0" xfId="0" applyNumberFormat="1" applyFont="1" applyBorder="1" applyAlignment="1">
      <alignment vertical="center"/>
    </xf>
    <xf numFmtId="0" fontId="10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10">
    <cellStyle name="Moeda 2" xfId="3" xr:uid="{44DD9A5A-B596-4FDB-88D2-BB54CABCB941}"/>
    <cellStyle name="Moeda 2 2" xfId="7" xr:uid="{B2EECD66-FC7C-4D1B-B810-C050C93E9696}"/>
    <cellStyle name="Moeda 3" xfId="9" xr:uid="{D142C8FD-726F-47E4-B9D6-33594CBC73B5}"/>
    <cellStyle name="Normal" xfId="0" builtinId="0"/>
    <cellStyle name="Normal 2" xfId="1" xr:uid="{23A692C7-12D6-46DB-B95C-186290E8D37C}"/>
    <cellStyle name="Normal 2 2" xfId="5" xr:uid="{C39A1968-F9A5-4A4B-9B17-0A52725CE995}"/>
    <cellStyle name="Normal 3" xfId="6" xr:uid="{AFC55A20-74D8-46DE-A7A0-E7E8FD9763B8}"/>
    <cellStyle name="Porcentagem" xfId="4" builtinId="5"/>
    <cellStyle name="Vírgula" xfId="8" builtinId="3"/>
    <cellStyle name="Vírgula 2" xfId="2" xr:uid="{40854593-636E-4B17-813A-C7F4769AFA91}"/>
  </cellStyles>
  <dxfs count="41">
    <dxf>
      <font>
        <color theme="0" tint="-0.24994659260841701"/>
      </font>
      <fill>
        <patternFill patternType="none">
          <bgColor auto="1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 tint="-0.24994659260841701"/>
      </font>
      <fill>
        <patternFill patternType="none">
          <bgColor auto="1"/>
        </patternFill>
      </fill>
    </dxf>
    <dxf>
      <font>
        <b val="0"/>
        <i/>
        <color theme="0" tint="-0.24994659260841701"/>
      </font>
      <fill>
        <patternFill patternType="none">
          <bgColor auto="1"/>
        </patternFill>
      </fill>
    </dxf>
    <dxf>
      <font>
        <b val="0"/>
        <i/>
        <color theme="0" tint="-0.24994659260841701"/>
      </font>
      <fill>
        <patternFill patternType="none">
          <bgColor auto="1"/>
        </patternFill>
      </fill>
    </dxf>
    <dxf>
      <font>
        <b val="0"/>
        <i/>
        <color theme="0" tint="-0.24994659260841701"/>
      </font>
      <fill>
        <patternFill patternType="none">
          <bgColor auto="1"/>
        </patternFill>
      </fill>
    </dxf>
    <dxf>
      <font>
        <b val="0"/>
        <i/>
        <color theme="0" tint="-0.24994659260841701"/>
      </font>
      <fill>
        <patternFill patternType="none">
          <bgColor auto="1"/>
        </patternFill>
      </fill>
    </dxf>
    <dxf>
      <font>
        <b val="0"/>
        <i/>
        <color theme="0" tint="-0.24994659260841701"/>
      </font>
      <fill>
        <patternFill patternType="none">
          <bgColor auto="1"/>
        </patternFill>
      </fill>
    </dxf>
    <dxf>
      <font>
        <b val="0"/>
        <i/>
        <color theme="0" tint="-0.24994659260841701"/>
      </font>
      <fill>
        <patternFill patternType="none">
          <bgColor auto="1"/>
        </patternFill>
      </fill>
    </dxf>
    <dxf>
      <font>
        <b val="0"/>
        <i/>
        <color theme="0" tint="-0.24994659260841701"/>
      </font>
      <fill>
        <patternFill patternType="none">
          <bgColor auto="1"/>
        </patternFill>
      </fill>
    </dxf>
    <dxf>
      <font>
        <b val="0"/>
        <i/>
        <color theme="0" tint="-0.24994659260841701"/>
      </font>
      <fill>
        <patternFill patternType="none">
          <bgColor auto="1"/>
        </patternFill>
      </fill>
    </dxf>
    <dxf>
      <font>
        <b val="0"/>
        <i/>
        <color theme="0" tint="-0.24994659260841701"/>
      </font>
      <fill>
        <patternFill patternType="none">
          <bgColor auto="1"/>
        </patternFill>
      </fill>
    </dxf>
    <dxf>
      <font>
        <b val="0"/>
        <i/>
        <color theme="0" tint="-0.24994659260841701"/>
      </font>
      <fill>
        <patternFill patternType="none">
          <bgColor auto="1"/>
        </patternFill>
      </fill>
    </dxf>
    <dxf>
      <font>
        <b val="0"/>
        <i/>
        <color theme="0" tint="-0.24994659260841701"/>
      </font>
      <fill>
        <patternFill patternType="none">
          <bgColor auto="1"/>
        </patternFill>
      </fill>
    </dxf>
    <dxf>
      <font>
        <b val="0"/>
        <i/>
        <color theme="0" tint="-0.24994659260841701"/>
      </font>
      <fill>
        <patternFill patternType="none">
          <bgColor auto="1"/>
        </patternFill>
      </fill>
    </dxf>
    <dxf>
      <font>
        <b val="0"/>
        <i/>
        <color theme="0" tint="-0.24994659260841701"/>
      </font>
      <fill>
        <patternFill patternType="none">
          <bgColor auto="1"/>
        </patternFill>
      </fill>
    </dxf>
    <dxf>
      <font>
        <b val="0"/>
        <i/>
        <color theme="0" tint="-0.24994659260841701"/>
      </font>
      <fill>
        <patternFill patternType="none">
          <bgColor auto="1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108857</xdr:colOff>
      <xdr:row>52</xdr:row>
      <xdr:rowOff>142875</xdr:rowOff>
    </xdr:from>
    <xdr:to>
      <xdr:col>9</xdr:col>
      <xdr:colOff>1628775</xdr:colOff>
      <xdr:row>61</xdr:row>
      <xdr:rowOff>152399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A8104B4E-0140-4C51-B3D8-1167DEAD24B9}"/>
            </a:ext>
          </a:extLst>
        </xdr:cNvPr>
        <xdr:cNvSpPr txBox="1"/>
      </xdr:nvSpPr>
      <xdr:spPr>
        <a:xfrm>
          <a:off x="108857" y="7938135"/>
          <a:ext cx="10244818" cy="181546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000"/>
            <a:t>OBSERVAÇÃO CONFORME: </a:t>
          </a:r>
        </a:p>
        <a:p>
          <a:endParaRPr lang="pt-BR" sz="1100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Decreto n.º 66.173 de 27/10/2021 _ "a liberação dos recursos, considerando o valor total destes, observará o seguinte: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pt-BR" sz="1100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base"/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até R$ 500.000,00</a:t>
          </a:r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(quinhentos mil reais), em </a:t>
          </a:r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parcela única</a:t>
          </a:r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;</a:t>
          </a:r>
        </a:p>
        <a:p>
          <a:pPr fontAlgn="base"/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2. </a:t>
          </a:r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entre R$ 500.000,00</a:t>
          </a:r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(quinhentos mil reais) </a:t>
          </a:r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R$1.000.000,00 </a:t>
          </a:r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(um milhão de reais), </a:t>
          </a:r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 2 (duas) parcelas </a:t>
          </a:r>
          <a:r>
            <a:rPr lang="pt-BR" sz="1100" b="1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igualmente divididas</a:t>
          </a:r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;</a:t>
          </a:r>
        </a:p>
        <a:p>
          <a:pPr fontAlgn="base"/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3. </a:t>
          </a:r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entre R$ 1.000.000,00</a:t>
          </a:r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(hum milhão de reais) </a:t>
          </a:r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 R$ 5.000.000,00</a:t>
          </a:r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(cinco milhões de reais), </a:t>
          </a:r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 3 (três) parcelas, </a:t>
          </a:r>
          <a:r>
            <a:rPr lang="pt-BR" sz="1100" b="1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sendo a primeira de 30% (trinta por cento)</a:t>
          </a:r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;</a:t>
          </a:r>
          <a:endParaRPr lang="pt-BR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base"/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4. </a:t>
          </a:r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acima de R$ 5.000.000,00 </a:t>
          </a:r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(cinco milhões de reais), </a:t>
          </a:r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 parcelas sucessivas, conforme estipular o respectivo instrumento, </a:t>
          </a:r>
          <a:r>
            <a:rPr lang="pt-BR" sz="1100" b="1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sendo a primeira de 30% (trinta por cento)</a:t>
          </a:r>
          <a:endParaRPr lang="pt-BR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br>
            <a:rPr lang="pt-BR"/>
          </a:b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45719</xdr:colOff>
      <xdr:row>0</xdr:row>
      <xdr:rowOff>236220</xdr:rowOff>
    </xdr:from>
    <xdr:to>
      <xdr:col>2</xdr:col>
      <xdr:colOff>1848196</xdr:colOff>
      <xdr:row>4</xdr:row>
      <xdr:rowOff>45720</xdr:rowOff>
    </xdr:to>
    <xdr:pic>
      <xdr:nvPicPr>
        <xdr:cNvPr id="3" name="Imagem 2" descr="logo">
          <a:extLst>
            <a:ext uri="{FF2B5EF4-FFF2-40B4-BE49-F238E27FC236}">
              <a16:creationId xmlns:a16="http://schemas.microsoft.com/office/drawing/2014/main" id="{95E2F61A-D7A1-4C52-80CA-C58621BEE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19" y="236220"/>
          <a:ext cx="3006437" cy="944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98D55-8A85-4208-AF8C-4A42B0B80555}">
  <dimension ref="C1:L42"/>
  <sheetViews>
    <sheetView showGridLines="0" tabSelected="1" zoomScaleNormal="100" zoomScaleSheetLayoutView="100" workbookViewId="0">
      <selection activeCell="I16" sqref="I16"/>
    </sheetView>
  </sheetViews>
  <sheetFormatPr defaultColWidth="8.85546875" defaultRowHeight="15" x14ac:dyDescent="0.25"/>
  <cols>
    <col min="1" max="2" width="8.85546875" style="135"/>
    <col min="3" max="3" width="8.5703125" style="135" customWidth="1"/>
    <col min="4" max="4" width="6.42578125" style="135" customWidth="1"/>
    <col min="5" max="5" width="9.7109375" style="135" bestFit="1" customWidth="1"/>
    <col min="6" max="6" width="54.28515625" style="135" customWidth="1"/>
    <col min="7" max="7" width="5.7109375" style="135" customWidth="1"/>
    <col min="8" max="8" width="9.28515625" style="135" customWidth="1"/>
    <col min="9" max="9" width="12.7109375" style="135" bestFit="1" customWidth="1"/>
    <col min="10" max="10" width="17.28515625" style="135" customWidth="1"/>
    <col min="11" max="11" width="11.28515625" style="135" customWidth="1"/>
    <col min="12" max="12" width="11.140625" style="135" customWidth="1"/>
    <col min="13" max="13" width="8.85546875" style="135" customWidth="1"/>
    <col min="14" max="16384" width="8.85546875" style="135"/>
  </cols>
  <sheetData>
    <row r="1" spans="3:12" x14ac:dyDescent="0.25">
      <c r="C1" s="217" t="s">
        <v>170</v>
      </c>
      <c r="D1" s="217"/>
      <c r="E1" s="217"/>
      <c r="F1" s="217"/>
      <c r="G1" s="217"/>
      <c r="H1" s="217"/>
      <c r="I1" s="217"/>
      <c r="J1" s="217"/>
    </row>
    <row r="2" spans="3:12" s="137" customFormat="1" ht="12.75" x14ac:dyDescent="0.25">
      <c r="C2" s="137" t="s">
        <v>165</v>
      </c>
    </row>
    <row r="3" spans="3:12" s="137" customFormat="1" ht="12.75" x14ac:dyDescent="0.25">
      <c r="C3" s="137" t="s">
        <v>166</v>
      </c>
    </row>
    <row r="4" spans="3:12" s="137" customFormat="1" ht="12.75" x14ac:dyDescent="0.25">
      <c r="C4" s="137" t="s">
        <v>167</v>
      </c>
    </row>
    <row r="5" spans="3:12" s="137" customFormat="1" ht="13.9" customHeight="1" thickBot="1" x14ac:dyDescent="0.3">
      <c r="C5" s="137" t="s">
        <v>168</v>
      </c>
      <c r="J5" s="138" t="s">
        <v>218</v>
      </c>
    </row>
    <row r="6" spans="3:12" x14ac:dyDescent="0.25">
      <c r="C6" s="223" t="s">
        <v>1</v>
      </c>
      <c r="D6" s="225" t="s">
        <v>2</v>
      </c>
      <c r="E6" s="225" t="s">
        <v>3</v>
      </c>
      <c r="F6" s="227" t="s">
        <v>4</v>
      </c>
      <c r="G6" s="229" t="s">
        <v>5</v>
      </c>
      <c r="H6" s="231" t="s">
        <v>6</v>
      </c>
      <c r="I6" s="233" t="s">
        <v>7</v>
      </c>
      <c r="J6" s="220" t="s">
        <v>8</v>
      </c>
    </row>
    <row r="7" spans="3:12" ht="15.75" thickBot="1" x14ac:dyDescent="0.3">
      <c r="C7" s="224"/>
      <c r="D7" s="226"/>
      <c r="E7" s="226"/>
      <c r="F7" s="228"/>
      <c r="G7" s="230"/>
      <c r="H7" s="232"/>
      <c r="I7" s="234"/>
      <c r="J7" s="221"/>
    </row>
    <row r="8" spans="3:12" x14ac:dyDescent="0.25">
      <c r="C8" s="139"/>
      <c r="D8" s="140" t="s">
        <v>9</v>
      </c>
      <c r="E8" s="140"/>
      <c r="F8" s="141" t="s">
        <v>10</v>
      </c>
      <c r="G8" s="142"/>
      <c r="H8" s="143"/>
      <c r="I8" s="81" t="str">
        <f>IF($A8="","",IF($G$2="SIM",VLOOKUP($C8,#REF!,6,0),VLOOKUP($C8,#REF!,6,0)))</f>
        <v/>
      </c>
      <c r="J8" s="144">
        <f>SUBTOTAL(9,J9:J11)</f>
        <v>3788.04</v>
      </c>
      <c r="K8" s="145"/>
      <c r="L8" s="146"/>
    </row>
    <row r="9" spans="3:12" x14ac:dyDescent="0.25">
      <c r="C9" s="82" t="s">
        <v>0</v>
      </c>
      <c r="D9" s="83" t="s">
        <v>11</v>
      </c>
      <c r="E9" s="84" t="s">
        <v>12</v>
      </c>
      <c r="F9" s="85" t="s">
        <v>13</v>
      </c>
      <c r="G9" s="86" t="s">
        <v>14</v>
      </c>
      <c r="H9" s="87">
        <v>6</v>
      </c>
      <c r="I9" s="88">
        <v>631.34</v>
      </c>
      <c r="J9" s="89">
        <f>ROUND(I9*H9,2)</f>
        <v>3788.04</v>
      </c>
      <c r="K9" s="147"/>
      <c r="L9" s="146"/>
    </row>
    <row r="10" spans="3:12" hidden="1" x14ac:dyDescent="0.25">
      <c r="C10" s="82" t="s">
        <v>0</v>
      </c>
      <c r="D10" s="83"/>
      <c r="E10" s="84"/>
      <c r="F10" s="85"/>
      <c r="G10" s="86"/>
      <c r="H10" s="87"/>
      <c r="I10" s="88"/>
      <c r="J10" s="89"/>
      <c r="K10" s="146"/>
      <c r="L10" s="146"/>
    </row>
    <row r="11" spans="3:12" hidden="1" x14ac:dyDescent="0.25">
      <c r="C11" s="82" t="s">
        <v>0</v>
      </c>
      <c r="D11" s="83"/>
      <c r="E11" s="84"/>
      <c r="F11" s="85"/>
      <c r="G11" s="86"/>
      <c r="H11" s="87"/>
      <c r="I11" s="88"/>
      <c r="J11" s="89"/>
      <c r="K11" s="146"/>
      <c r="L11" s="146"/>
    </row>
    <row r="12" spans="3:12" x14ac:dyDescent="0.25">
      <c r="C12" s="82"/>
      <c r="D12" s="83"/>
      <c r="E12" s="84"/>
      <c r="F12" s="85" t="str">
        <f>IF($A12="","",VLOOKUP($C12,#REF!,2,0))</f>
        <v/>
      </c>
      <c r="G12" s="86" t="str">
        <f>IF($A12="","",VLOOKUP($C12,#REF!,3,0))</f>
        <v/>
      </c>
      <c r="H12" s="87"/>
      <c r="I12" s="88" t="str">
        <f>IF($A12="","",IF($G$2="SIM",VLOOKUP($C12,#REF!,6,0),VLOOKUP($C12,#REF!,6,0)))</f>
        <v/>
      </c>
      <c r="J12" s="89" t="str">
        <f>IF($A12="","",ROUND(H12*#REF!,2))</f>
        <v/>
      </c>
      <c r="K12" s="146"/>
      <c r="L12" s="146"/>
    </row>
    <row r="13" spans="3:12" x14ac:dyDescent="0.25">
      <c r="C13" s="90"/>
      <c r="D13" s="148" t="s">
        <v>15</v>
      </c>
      <c r="E13" s="148"/>
      <c r="F13" s="149" t="s">
        <v>16</v>
      </c>
      <c r="G13" s="91" t="s">
        <v>143</v>
      </c>
      <c r="H13" s="150"/>
      <c r="I13" s="92" t="str">
        <f>IF($A13="","",IF($G$2="SIM",VLOOKUP($C13,#REF!,6,0),VLOOKUP($C13,#REF!,6,0)))</f>
        <v/>
      </c>
      <c r="J13" s="151">
        <f>SUBTOTAL(9,J14:J19)</f>
        <v>183185.66</v>
      </c>
      <c r="K13" s="145"/>
      <c r="L13" s="146"/>
    </row>
    <row r="14" spans="3:12" x14ac:dyDescent="0.25">
      <c r="C14" s="82" t="s">
        <v>0</v>
      </c>
      <c r="D14" s="83" t="s">
        <v>17</v>
      </c>
      <c r="E14" s="84" t="s">
        <v>18</v>
      </c>
      <c r="F14" s="85" t="s">
        <v>19</v>
      </c>
      <c r="G14" s="86" t="s">
        <v>14</v>
      </c>
      <c r="H14" s="87">
        <v>1335.1</v>
      </c>
      <c r="I14" s="88">
        <v>66.5</v>
      </c>
      <c r="J14" s="89">
        <f t="shared" ref="J14:J16" si="0">ROUND(I14*H14,2)</f>
        <v>88784.15</v>
      </c>
      <c r="K14" s="147"/>
      <c r="L14" s="152"/>
    </row>
    <row r="15" spans="3:12" ht="25.5" x14ac:dyDescent="0.25">
      <c r="C15" s="82" t="s">
        <v>0</v>
      </c>
      <c r="D15" s="83" t="s">
        <v>20</v>
      </c>
      <c r="E15" s="84" t="s">
        <v>21</v>
      </c>
      <c r="F15" s="85" t="s">
        <v>22</v>
      </c>
      <c r="G15" s="86" t="s">
        <v>14</v>
      </c>
      <c r="H15" s="87">
        <v>1282.2</v>
      </c>
      <c r="I15" s="88">
        <v>68.760000000000005</v>
      </c>
      <c r="J15" s="89">
        <f t="shared" si="0"/>
        <v>88164.07</v>
      </c>
      <c r="K15" s="147"/>
      <c r="L15" s="152"/>
    </row>
    <row r="16" spans="3:12" ht="25.5" x14ac:dyDescent="0.25">
      <c r="C16" s="82" t="s">
        <v>0</v>
      </c>
      <c r="D16" s="83" t="s">
        <v>23</v>
      </c>
      <c r="E16" s="84" t="s">
        <v>24</v>
      </c>
      <c r="F16" s="85" t="s">
        <v>25</v>
      </c>
      <c r="G16" s="86" t="s">
        <v>14</v>
      </c>
      <c r="H16" s="87">
        <v>52.9</v>
      </c>
      <c r="I16" s="88">
        <v>117.91</v>
      </c>
      <c r="J16" s="89">
        <f t="shared" si="0"/>
        <v>6237.44</v>
      </c>
      <c r="K16" s="147"/>
      <c r="L16" s="152"/>
    </row>
    <row r="17" spans="3:12" hidden="1" x14ac:dyDescent="0.25">
      <c r="C17" s="82" t="s">
        <v>0</v>
      </c>
      <c r="D17" s="83"/>
      <c r="E17" s="84"/>
      <c r="F17" s="85"/>
      <c r="G17" s="86"/>
      <c r="H17" s="87"/>
      <c r="I17" s="88"/>
      <c r="J17" s="89"/>
      <c r="K17" s="146"/>
      <c r="L17" s="152" t="e">
        <f>K17/$K$13</f>
        <v>#DIV/0!</v>
      </c>
    </row>
    <row r="18" spans="3:12" hidden="1" x14ac:dyDescent="0.25">
      <c r="C18" s="82" t="s">
        <v>0</v>
      </c>
      <c r="D18" s="83"/>
      <c r="E18" s="84"/>
      <c r="F18" s="85"/>
      <c r="G18" s="86"/>
      <c r="H18" s="87"/>
      <c r="I18" s="88"/>
      <c r="J18" s="89"/>
      <c r="K18" s="146"/>
      <c r="L18" s="152" t="e">
        <f>K18/$K$13</f>
        <v>#DIV/0!</v>
      </c>
    </row>
    <row r="19" spans="3:12" hidden="1" x14ac:dyDescent="0.25">
      <c r="C19" s="82" t="s">
        <v>0</v>
      </c>
      <c r="D19" s="83"/>
      <c r="E19" s="84"/>
      <c r="F19" s="85"/>
      <c r="G19" s="86"/>
      <c r="H19" s="87"/>
      <c r="I19" s="88"/>
      <c r="J19" s="89"/>
      <c r="K19" s="146"/>
      <c r="L19" s="152" t="e">
        <f>K19/$K$13</f>
        <v>#DIV/0!</v>
      </c>
    </row>
    <row r="20" spans="3:12" x14ac:dyDescent="0.25">
      <c r="C20" s="82"/>
      <c r="D20" s="83"/>
      <c r="E20" s="84"/>
      <c r="F20" s="85" t="str">
        <f>IF($A20="","",VLOOKUP($C20,#REF!,2,0))</f>
        <v/>
      </c>
      <c r="G20" s="86" t="str">
        <f>IF($A20="","",VLOOKUP($C20,#REF!,3,0))</f>
        <v/>
      </c>
      <c r="H20" s="87"/>
      <c r="I20" s="88" t="str">
        <f>IF($A20="","",IF($G$2="SIM",VLOOKUP($C20,#REF!,6,0),VLOOKUP($C20,#REF!,6,0)))</f>
        <v/>
      </c>
      <c r="J20" s="89" t="str">
        <f>IF($A20="","",ROUND(H20*#REF!,2))</f>
        <v/>
      </c>
      <c r="K20" s="146"/>
      <c r="L20" s="146"/>
    </row>
    <row r="21" spans="3:12" x14ac:dyDescent="0.25">
      <c r="C21" s="90"/>
      <c r="D21" s="148" t="s">
        <v>26</v>
      </c>
      <c r="E21" s="148"/>
      <c r="F21" s="149" t="s">
        <v>27</v>
      </c>
      <c r="G21" s="91" t="s">
        <v>143</v>
      </c>
      <c r="H21" s="93"/>
      <c r="I21" s="92" t="str">
        <f>IF($A21="","",IF($G$2="SIM",VLOOKUP($C21,#REF!,6,0),VLOOKUP($C21,#REF!,6,0)))</f>
        <v/>
      </c>
      <c r="J21" s="151">
        <f>SUBTOTAL(9,J22:J30)</f>
        <v>146189.69</v>
      </c>
      <c r="K21" s="145"/>
      <c r="L21" s="146"/>
    </row>
    <row r="22" spans="3:12" x14ac:dyDescent="0.25">
      <c r="C22" s="82" t="s">
        <v>136</v>
      </c>
      <c r="D22" s="83" t="s">
        <v>29</v>
      </c>
      <c r="E22" s="84" t="s">
        <v>169</v>
      </c>
      <c r="F22" s="85" t="s">
        <v>135</v>
      </c>
      <c r="G22" s="86" t="s">
        <v>14</v>
      </c>
      <c r="H22" s="87">
        <v>38.18</v>
      </c>
      <c r="I22" s="88">
        <v>62.77</v>
      </c>
      <c r="J22" s="89">
        <f t="shared" ref="J22:J30" si="1">ROUND(I22*H22,2)</f>
        <v>2396.56</v>
      </c>
      <c r="K22" s="147"/>
      <c r="L22" s="152"/>
    </row>
    <row r="23" spans="3:12" ht="25.5" x14ac:dyDescent="0.25">
      <c r="C23" s="82" t="s">
        <v>0</v>
      </c>
      <c r="D23" s="83" t="s">
        <v>30</v>
      </c>
      <c r="E23" s="84" t="s">
        <v>32</v>
      </c>
      <c r="F23" s="85" t="s">
        <v>145</v>
      </c>
      <c r="G23" s="86" t="s">
        <v>14</v>
      </c>
      <c r="H23" s="94">
        <v>22.4</v>
      </c>
      <c r="I23" s="88">
        <v>935.37</v>
      </c>
      <c r="J23" s="89">
        <f t="shared" si="1"/>
        <v>20952.29</v>
      </c>
      <c r="K23" s="147"/>
      <c r="L23" s="152"/>
    </row>
    <row r="24" spans="3:12" ht="25.15" customHeight="1" x14ac:dyDescent="0.25">
      <c r="C24" s="82" t="s">
        <v>0</v>
      </c>
      <c r="D24" s="83" t="s">
        <v>31</v>
      </c>
      <c r="E24" s="84" t="s">
        <v>33</v>
      </c>
      <c r="F24" s="85" t="s">
        <v>146</v>
      </c>
      <c r="G24" s="86" t="s">
        <v>14</v>
      </c>
      <c r="H24" s="94">
        <v>59.51</v>
      </c>
      <c r="I24" s="88">
        <v>1103.93</v>
      </c>
      <c r="J24" s="89">
        <f t="shared" si="1"/>
        <v>65694.87</v>
      </c>
      <c r="K24" s="147"/>
      <c r="L24" s="152"/>
    </row>
    <row r="25" spans="3:12" ht="14.45" customHeight="1" x14ac:dyDescent="0.25">
      <c r="C25" s="82" t="s">
        <v>0</v>
      </c>
      <c r="D25" s="83" t="s">
        <v>34</v>
      </c>
      <c r="E25" s="84" t="s">
        <v>37</v>
      </c>
      <c r="F25" s="85" t="s">
        <v>46</v>
      </c>
      <c r="G25" s="86" t="s">
        <v>47</v>
      </c>
      <c r="H25" s="87">
        <v>15</v>
      </c>
      <c r="I25" s="88">
        <v>1146.27</v>
      </c>
      <c r="J25" s="89">
        <f t="shared" si="1"/>
        <v>17194.05</v>
      </c>
      <c r="K25" s="147"/>
      <c r="L25" s="152"/>
    </row>
    <row r="26" spans="3:12" x14ac:dyDescent="0.25">
      <c r="C26" s="82" t="s">
        <v>0</v>
      </c>
      <c r="D26" s="83" t="s">
        <v>35</v>
      </c>
      <c r="E26" s="84" t="s">
        <v>38</v>
      </c>
      <c r="F26" s="85" t="s">
        <v>48</v>
      </c>
      <c r="G26" s="86" t="s">
        <v>47</v>
      </c>
      <c r="H26" s="87">
        <v>2</v>
      </c>
      <c r="I26" s="88">
        <v>2627.7</v>
      </c>
      <c r="J26" s="89">
        <f t="shared" si="1"/>
        <v>5255.4</v>
      </c>
      <c r="K26" s="147"/>
      <c r="L26" s="152"/>
    </row>
    <row r="27" spans="3:12" x14ac:dyDescent="0.25">
      <c r="C27" s="82" t="s">
        <v>0</v>
      </c>
      <c r="D27" s="83" t="s">
        <v>36</v>
      </c>
      <c r="E27" s="84" t="s">
        <v>39</v>
      </c>
      <c r="F27" s="85" t="s">
        <v>49</v>
      </c>
      <c r="G27" s="86" t="s">
        <v>47</v>
      </c>
      <c r="H27" s="87">
        <v>3</v>
      </c>
      <c r="I27" s="88">
        <v>3993.93</v>
      </c>
      <c r="J27" s="89">
        <f t="shared" si="1"/>
        <v>11981.79</v>
      </c>
      <c r="K27" s="147"/>
      <c r="L27" s="152"/>
    </row>
    <row r="28" spans="3:12" ht="25.5" x14ac:dyDescent="0.25">
      <c r="C28" s="82" t="s">
        <v>0</v>
      </c>
      <c r="D28" s="83" t="s">
        <v>43</v>
      </c>
      <c r="E28" s="84" t="s">
        <v>40</v>
      </c>
      <c r="F28" s="85" t="s">
        <v>50</v>
      </c>
      <c r="G28" s="86" t="s">
        <v>47</v>
      </c>
      <c r="H28" s="87">
        <v>4</v>
      </c>
      <c r="I28" s="88">
        <v>3275.65</v>
      </c>
      <c r="J28" s="89">
        <f t="shared" si="1"/>
        <v>13102.6</v>
      </c>
      <c r="K28" s="147"/>
      <c r="L28" s="152"/>
    </row>
    <row r="29" spans="3:12" x14ac:dyDescent="0.25">
      <c r="C29" s="82" t="s">
        <v>0</v>
      </c>
      <c r="D29" s="83" t="s">
        <v>44</v>
      </c>
      <c r="E29" s="84" t="s">
        <v>41</v>
      </c>
      <c r="F29" s="85" t="s">
        <v>51</v>
      </c>
      <c r="G29" s="86" t="s">
        <v>47</v>
      </c>
      <c r="H29" s="87">
        <v>2</v>
      </c>
      <c r="I29" s="88">
        <v>1979.48</v>
      </c>
      <c r="J29" s="89">
        <f t="shared" si="1"/>
        <v>3958.96</v>
      </c>
      <c r="K29" s="147"/>
      <c r="L29" s="152"/>
    </row>
    <row r="30" spans="3:12" ht="25.5" x14ac:dyDescent="0.25">
      <c r="C30" s="82" t="s">
        <v>0</v>
      </c>
      <c r="D30" s="83" t="s">
        <v>45</v>
      </c>
      <c r="E30" s="84" t="s">
        <v>42</v>
      </c>
      <c r="F30" s="85" t="s">
        <v>52</v>
      </c>
      <c r="G30" s="86" t="s">
        <v>47</v>
      </c>
      <c r="H30" s="87">
        <v>3</v>
      </c>
      <c r="I30" s="88">
        <v>1884.39</v>
      </c>
      <c r="J30" s="89">
        <f t="shared" si="1"/>
        <v>5653.17</v>
      </c>
      <c r="K30" s="147"/>
      <c r="L30" s="152"/>
    </row>
    <row r="31" spans="3:12" ht="15.75" thickBot="1" x14ac:dyDescent="0.3">
      <c r="C31" s="153"/>
      <c r="D31" s="154"/>
      <c r="E31" s="84"/>
      <c r="F31" s="85" t="str">
        <f>IF($A31="","",VLOOKUP($C31,#REF!,2,0))</f>
        <v/>
      </c>
      <c r="G31" s="86" t="str">
        <f>IF($A31="","",VLOOKUP($C31,#REF!,3,0))</f>
        <v/>
      </c>
      <c r="H31" s="95"/>
      <c r="I31" s="96" t="str">
        <f>IF($A31="","",IF($G$2="SIM",VLOOKUP($C31,#REF!,6,0),VLOOKUP($C31,#REF!,6,0)))</f>
        <v/>
      </c>
      <c r="J31" s="89" t="str">
        <f>IF($A31="","",ROUND(H31*#REF!,2))</f>
        <v/>
      </c>
      <c r="K31" s="146"/>
      <c r="L31" s="146"/>
    </row>
    <row r="32" spans="3:12" ht="15.6" customHeight="1" thickBot="1" x14ac:dyDescent="0.3">
      <c r="C32" s="132"/>
      <c r="D32" s="133"/>
      <c r="E32" s="222" t="s">
        <v>8</v>
      </c>
      <c r="F32" s="222"/>
      <c r="G32" s="222"/>
      <c r="H32" s="222"/>
      <c r="I32" s="222"/>
      <c r="J32" s="134">
        <f>SUBTOTAL(9,J8:J31)</f>
        <v>333163.39</v>
      </c>
    </row>
    <row r="33" spans="3:12" ht="15.6" customHeight="1" thickBot="1" x14ac:dyDescent="0.3">
      <c r="C33" s="132"/>
      <c r="D33" s="133"/>
      <c r="E33" s="136" t="s">
        <v>164</v>
      </c>
      <c r="F33" s="136"/>
      <c r="G33" s="136"/>
      <c r="H33" s="136"/>
      <c r="I33" s="97">
        <v>0.19600000000000001</v>
      </c>
      <c r="J33" s="134">
        <f>I33*J32</f>
        <v>65300.024440000008</v>
      </c>
    </row>
    <row r="34" spans="3:12" ht="15.6" customHeight="1" thickBot="1" x14ac:dyDescent="0.3">
      <c r="C34" s="132"/>
      <c r="D34" s="133"/>
      <c r="E34" s="222" t="s">
        <v>28</v>
      </c>
      <c r="F34" s="222"/>
      <c r="G34" s="222"/>
      <c r="H34" s="222"/>
      <c r="I34" s="222"/>
      <c r="J34" s="134">
        <f>J33+J32</f>
        <v>398463.41444000002</v>
      </c>
    </row>
    <row r="35" spans="3:12" x14ac:dyDescent="0.25">
      <c r="C35" s="155"/>
      <c r="D35" s="155"/>
      <c r="E35" s="156"/>
      <c r="F35" s="157"/>
      <c r="G35" s="155"/>
      <c r="H35" s="158"/>
      <c r="I35" s="1"/>
      <c r="J35" s="158"/>
    </row>
    <row r="36" spans="3:12" x14ac:dyDescent="0.25">
      <c r="I36" s="1"/>
      <c r="J36" s="158"/>
      <c r="L36" s="159"/>
    </row>
    <row r="37" spans="3:12" x14ac:dyDescent="0.25">
      <c r="I37" s="1"/>
      <c r="J37" s="158"/>
      <c r="L37" s="160"/>
    </row>
    <row r="38" spans="3:12" x14ac:dyDescent="0.25">
      <c r="I38" s="1"/>
      <c r="J38" s="158"/>
    </row>
    <row r="39" spans="3:12" x14ac:dyDescent="0.25">
      <c r="I39" s="161"/>
    </row>
    <row r="40" spans="3:12" x14ac:dyDescent="0.25">
      <c r="I40" s="219" t="s">
        <v>173</v>
      </c>
      <c r="J40" s="219"/>
    </row>
    <row r="41" spans="3:12" x14ac:dyDescent="0.25">
      <c r="I41" s="218" t="s">
        <v>171</v>
      </c>
      <c r="J41" s="218"/>
    </row>
    <row r="42" spans="3:12" x14ac:dyDescent="0.25">
      <c r="I42" s="218" t="s">
        <v>172</v>
      </c>
      <c r="J42" s="218"/>
    </row>
  </sheetData>
  <mergeCells count="14">
    <mergeCell ref="C1:J1"/>
    <mergeCell ref="I41:J41"/>
    <mergeCell ref="I40:J40"/>
    <mergeCell ref="I42:J42"/>
    <mergeCell ref="J6:J7"/>
    <mergeCell ref="E34:I34"/>
    <mergeCell ref="C6:C7"/>
    <mergeCell ref="D6:D7"/>
    <mergeCell ref="E6:E7"/>
    <mergeCell ref="F6:F7"/>
    <mergeCell ref="G6:G7"/>
    <mergeCell ref="H6:H7"/>
    <mergeCell ref="I6:I7"/>
    <mergeCell ref="E32:I32"/>
  </mergeCells>
  <phoneticPr fontId="7" type="noConversion"/>
  <printOptions horizontalCentered="1"/>
  <pageMargins left="0.70866141732283472" right="0.70866141732283472" top="1.7716535433070868" bottom="0.94488188976377963" header="0.31496062992125984" footer="0.31496062992125984"/>
  <pageSetup paperSize="9" scale="71" orientation="portrait" r:id="rId1"/>
  <ignoredErrors>
    <ignoredError sqref="E14:E16 E9 E23:E3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A6350-DF45-49C7-9421-C97DC73947BA}">
  <sheetPr>
    <pageSetUpPr fitToPage="1"/>
  </sheetPr>
  <dimension ref="B9:Q32"/>
  <sheetViews>
    <sheetView topLeftCell="A4" zoomScaleNormal="100" zoomScaleSheetLayoutView="85" workbookViewId="0">
      <selection activeCell="O20" sqref="O20"/>
    </sheetView>
  </sheetViews>
  <sheetFormatPr defaultColWidth="8.85546875" defaultRowHeight="14.25" x14ac:dyDescent="0.2"/>
  <cols>
    <col min="1" max="1" width="8.85546875" style="110"/>
    <col min="2" max="2" width="5.85546875" style="110" customWidth="1"/>
    <col min="3" max="3" width="26.5703125" style="110" customWidth="1"/>
    <col min="4" max="4" width="11" style="111" customWidth="1"/>
    <col min="5" max="11" width="11" style="110" customWidth="1"/>
    <col min="12" max="12" width="13.5703125" style="110" bestFit="1" customWidth="1"/>
    <col min="13" max="13" width="14.85546875" style="110" bestFit="1" customWidth="1"/>
    <col min="14" max="16" width="8.85546875" style="110"/>
    <col min="17" max="17" width="12.42578125" style="110" bestFit="1" customWidth="1"/>
    <col min="18" max="16384" width="8.85546875" style="110"/>
  </cols>
  <sheetData>
    <row r="9" spans="2:17" ht="15" x14ac:dyDescent="0.25">
      <c r="B9" s="245" t="s">
        <v>185</v>
      </c>
      <c r="C9" s="245"/>
      <c r="D9" s="245"/>
      <c r="E9" s="245"/>
      <c r="F9" s="245"/>
      <c r="G9" s="245"/>
      <c r="H9" s="245"/>
      <c r="I9" s="245"/>
      <c r="J9" s="245"/>
      <c r="K9" s="245"/>
      <c r="L9" s="245"/>
    </row>
    <row r="10" spans="2:17" s="2" customFormat="1" ht="12.75" x14ac:dyDescent="0.2">
      <c r="B10" s="2" t="s">
        <v>165</v>
      </c>
      <c r="C10" s="107"/>
    </row>
    <row r="11" spans="2:17" s="2" customFormat="1" ht="12.75" x14ac:dyDescent="0.2">
      <c r="B11" s="2" t="s">
        <v>166</v>
      </c>
      <c r="C11" s="107"/>
    </row>
    <row r="12" spans="2:17" s="2" customFormat="1" ht="12.75" x14ac:dyDescent="0.2">
      <c r="B12" s="2" t="s">
        <v>167</v>
      </c>
      <c r="C12" s="107"/>
    </row>
    <row r="13" spans="2:17" s="2" customFormat="1" ht="12.75" x14ac:dyDescent="0.2">
      <c r="B13" s="2" t="s">
        <v>168</v>
      </c>
      <c r="C13" s="107"/>
      <c r="L13" s="106" t="str">
        <f>Planilha_Orçamentaria_183!J5</f>
        <v>Data base: 11/2021</v>
      </c>
    </row>
    <row r="14" spans="2:17" ht="15" thickBot="1" x14ac:dyDescent="0.25"/>
    <row r="15" spans="2:17" ht="14.45" customHeight="1" x14ac:dyDescent="0.2">
      <c r="B15" s="248" t="s">
        <v>186</v>
      </c>
      <c r="C15" s="249"/>
      <c r="D15" s="239" t="s">
        <v>175</v>
      </c>
      <c r="E15" s="239" t="s">
        <v>176</v>
      </c>
      <c r="F15" s="239" t="s">
        <v>177</v>
      </c>
      <c r="G15" s="239" t="s">
        <v>178</v>
      </c>
      <c r="H15" s="239" t="s">
        <v>179</v>
      </c>
      <c r="I15" s="239" t="s">
        <v>180</v>
      </c>
      <c r="J15" s="239" t="s">
        <v>181</v>
      </c>
      <c r="K15" s="239" t="s">
        <v>182</v>
      </c>
      <c r="L15" s="246" t="s">
        <v>8</v>
      </c>
      <c r="Q15" s="215"/>
    </row>
    <row r="16" spans="2:17" ht="15" thickBot="1" x14ac:dyDescent="0.25">
      <c r="B16" s="250"/>
      <c r="C16" s="251"/>
      <c r="D16" s="240"/>
      <c r="E16" s="240"/>
      <c r="F16" s="240"/>
      <c r="G16" s="240"/>
      <c r="H16" s="240"/>
      <c r="I16" s="240"/>
      <c r="J16" s="240"/>
      <c r="K16" s="240"/>
      <c r="L16" s="247"/>
      <c r="Q16" s="215"/>
    </row>
    <row r="17" spans="2:17" ht="16.149999999999999" customHeight="1" x14ac:dyDescent="0.2">
      <c r="B17" s="237" t="s">
        <v>9</v>
      </c>
      <c r="C17" s="235" t="s">
        <v>10</v>
      </c>
      <c r="D17" s="112">
        <v>1</v>
      </c>
      <c r="E17" s="113">
        <v>0</v>
      </c>
      <c r="F17" s="113">
        <v>0</v>
      </c>
      <c r="G17" s="113">
        <v>0</v>
      </c>
      <c r="H17" s="113">
        <v>0</v>
      </c>
      <c r="I17" s="113">
        <v>0</v>
      </c>
      <c r="J17" s="113">
        <v>0</v>
      </c>
      <c r="K17" s="113">
        <v>0</v>
      </c>
      <c r="L17" s="114">
        <f>SUM(D17:K17)</f>
        <v>1</v>
      </c>
      <c r="Q17" s="215"/>
    </row>
    <row r="18" spans="2:17" ht="16.149999999999999" customHeight="1" thickBot="1" x14ac:dyDescent="0.25">
      <c r="B18" s="238"/>
      <c r="C18" s="236"/>
      <c r="D18" s="115">
        <f t="shared" ref="D18:K18" si="0">D17*$L18</f>
        <v>4530.49</v>
      </c>
      <c r="E18" s="115">
        <f t="shared" si="0"/>
        <v>0</v>
      </c>
      <c r="F18" s="115">
        <f t="shared" si="0"/>
        <v>0</v>
      </c>
      <c r="G18" s="115">
        <f t="shared" si="0"/>
        <v>0</v>
      </c>
      <c r="H18" s="115">
        <f t="shared" si="0"/>
        <v>0</v>
      </c>
      <c r="I18" s="115">
        <f t="shared" si="0"/>
        <v>0</v>
      </c>
      <c r="J18" s="115">
        <f t="shared" si="0"/>
        <v>0</v>
      </c>
      <c r="K18" s="115">
        <f t="shared" si="0"/>
        <v>0</v>
      </c>
      <c r="L18" s="116">
        <v>4530.49</v>
      </c>
      <c r="M18" s="216" t="s">
        <v>220</v>
      </c>
      <c r="Q18" s="215"/>
    </row>
    <row r="19" spans="2:17" ht="16.149999999999999" customHeight="1" x14ac:dyDescent="0.2">
      <c r="B19" s="237" t="s">
        <v>15</v>
      </c>
      <c r="C19" s="235" t="s">
        <v>16</v>
      </c>
      <c r="D19" s="112">
        <v>0.33</v>
      </c>
      <c r="E19" s="113">
        <v>0.33</v>
      </c>
      <c r="F19" s="113">
        <v>0.34</v>
      </c>
      <c r="G19" s="113">
        <v>0</v>
      </c>
      <c r="H19" s="113">
        <v>0</v>
      </c>
      <c r="I19" s="113">
        <v>0</v>
      </c>
      <c r="J19" s="113">
        <v>0</v>
      </c>
      <c r="K19" s="113">
        <v>0</v>
      </c>
      <c r="L19" s="114">
        <f>SUM(D19:K19)</f>
        <v>1</v>
      </c>
      <c r="Q19" s="215"/>
    </row>
    <row r="20" spans="2:17" ht="16.149999999999999" customHeight="1" thickBot="1" x14ac:dyDescent="0.25">
      <c r="B20" s="238"/>
      <c r="C20" s="236"/>
      <c r="D20" s="115">
        <f t="shared" ref="D20:K20" si="1">D19*$L20</f>
        <v>72299.716499999995</v>
      </c>
      <c r="E20" s="115">
        <f t="shared" si="1"/>
        <v>72299.716499999995</v>
      </c>
      <c r="F20" s="115">
        <f t="shared" si="1"/>
        <v>74490.616999999998</v>
      </c>
      <c r="G20" s="115">
        <f t="shared" si="1"/>
        <v>0</v>
      </c>
      <c r="H20" s="115">
        <f t="shared" si="1"/>
        <v>0</v>
      </c>
      <c r="I20" s="115">
        <f t="shared" si="1"/>
        <v>0</v>
      </c>
      <c r="J20" s="115">
        <f t="shared" si="1"/>
        <v>0</v>
      </c>
      <c r="K20" s="115">
        <f t="shared" si="1"/>
        <v>0</v>
      </c>
      <c r="L20" s="116">
        <v>219090.05</v>
      </c>
      <c r="M20" s="216" t="s">
        <v>220</v>
      </c>
    </row>
    <row r="21" spans="2:17" ht="16.149999999999999" customHeight="1" x14ac:dyDescent="0.2">
      <c r="B21" s="237" t="s">
        <v>26</v>
      </c>
      <c r="C21" s="235" t="s">
        <v>27</v>
      </c>
      <c r="D21" s="112">
        <v>0</v>
      </c>
      <c r="E21" s="113">
        <v>0</v>
      </c>
      <c r="F21" s="113">
        <v>0</v>
      </c>
      <c r="G21" s="113">
        <v>0.3</v>
      </c>
      <c r="H21" s="113">
        <v>0.3</v>
      </c>
      <c r="I21" s="113">
        <v>0.15</v>
      </c>
      <c r="J21" s="113">
        <v>0.15</v>
      </c>
      <c r="K21" s="113">
        <v>0.1</v>
      </c>
      <c r="L21" s="114">
        <f>SUM(D21:K21)</f>
        <v>1</v>
      </c>
    </row>
    <row r="22" spans="2:17" ht="16.149999999999999" customHeight="1" thickBot="1" x14ac:dyDescent="0.25">
      <c r="B22" s="238"/>
      <c r="C22" s="236"/>
      <c r="D22" s="115">
        <f t="shared" ref="D22:K22" si="2">D21*$L22</f>
        <v>0</v>
      </c>
      <c r="E22" s="115">
        <f t="shared" si="2"/>
        <v>0</v>
      </c>
      <c r="F22" s="115">
        <f t="shared" si="2"/>
        <v>0</v>
      </c>
      <c r="G22" s="115">
        <f t="shared" si="2"/>
        <v>52452.860999999997</v>
      </c>
      <c r="H22" s="115">
        <f t="shared" si="2"/>
        <v>52452.860999999997</v>
      </c>
      <c r="I22" s="115">
        <f t="shared" si="2"/>
        <v>26226.430499999999</v>
      </c>
      <c r="J22" s="115">
        <f t="shared" si="2"/>
        <v>26226.430499999999</v>
      </c>
      <c r="K22" s="115">
        <f t="shared" si="2"/>
        <v>17484.287</v>
      </c>
      <c r="L22" s="116">
        <v>174842.87</v>
      </c>
      <c r="M22" s="216" t="s">
        <v>220</v>
      </c>
    </row>
    <row r="23" spans="2:17" ht="16.149999999999999" customHeight="1" thickBot="1" x14ac:dyDescent="0.25">
      <c r="B23" s="243" t="s">
        <v>8</v>
      </c>
      <c r="C23" s="244"/>
      <c r="D23" s="117">
        <f>D18+D20+D22</f>
        <v>76830.2065</v>
      </c>
      <c r="E23" s="117">
        <f t="shared" ref="E23:K23" si="3">E18+E20+E22</f>
        <v>72299.716499999995</v>
      </c>
      <c r="F23" s="117">
        <f t="shared" si="3"/>
        <v>74490.616999999998</v>
      </c>
      <c r="G23" s="117">
        <f t="shared" si="3"/>
        <v>52452.860999999997</v>
      </c>
      <c r="H23" s="117">
        <f t="shared" si="3"/>
        <v>52452.860999999997</v>
      </c>
      <c r="I23" s="117">
        <f t="shared" si="3"/>
        <v>26226.430499999999</v>
      </c>
      <c r="J23" s="117">
        <f t="shared" si="3"/>
        <v>26226.430499999999</v>
      </c>
      <c r="K23" s="117">
        <f t="shared" si="3"/>
        <v>17484.287</v>
      </c>
      <c r="L23" s="118">
        <f>L18+L20+L22</f>
        <v>398463.41</v>
      </c>
    </row>
    <row r="30" spans="2:17" x14ac:dyDescent="0.2">
      <c r="J30" s="241" t="s">
        <v>173</v>
      </c>
      <c r="K30" s="241"/>
      <c r="L30" s="241"/>
    </row>
    <row r="31" spans="2:17" x14ac:dyDescent="0.2">
      <c r="J31" s="242" t="s">
        <v>171</v>
      </c>
      <c r="K31" s="242"/>
      <c r="L31" s="242"/>
    </row>
    <row r="32" spans="2:17" x14ac:dyDescent="0.2">
      <c r="J32" s="242" t="s">
        <v>172</v>
      </c>
      <c r="K32" s="242"/>
      <c r="L32" s="242"/>
    </row>
  </sheetData>
  <mergeCells count="21">
    <mergeCell ref="J30:L30"/>
    <mergeCell ref="J31:L31"/>
    <mergeCell ref="J32:L32"/>
    <mergeCell ref="B23:C23"/>
    <mergeCell ref="B9:L9"/>
    <mergeCell ref="G15:G16"/>
    <mergeCell ref="H15:H16"/>
    <mergeCell ref="I15:I16"/>
    <mergeCell ref="J15:J16"/>
    <mergeCell ref="K15:K16"/>
    <mergeCell ref="L15:L16"/>
    <mergeCell ref="B19:B20"/>
    <mergeCell ref="C19:C20"/>
    <mergeCell ref="B21:B22"/>
    <mergeCell ref="C21:C22"/>
    <mergeCell ref="B15:C16"/>
    <mergeCell ref="C17:C18"/>
    <mergeCell ref="B17:B18"/>
    <mergeCell ref="D15:D16"/>
    <mergeCell ref="E15:E16"/>
    <mergeCell ref="F15:F16"/>
  </mergeCells>
  <phoneticPr fontId="7" type="noConversion"/>
  <printOptions horizontalCentered="1" verticalCentered="1"/>
  <pageMargins left="0.62992125984251968" right="0.23622047244094491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E132A-147D-4FCA-8E90-955018C85330}">
  <sheetPr>
    <pageSetUpPr fitToPage="1"/>
  </sheetPr>
  <dimension ref="A1:N75"/>
  <sheetViews>
    <sheetView showGridLines="0" topLeftCell="A11" zoomScale="70" zoomScaleNormal="70" workbookViewId="0">
      <selection activeCell="K19" sqref="K19"/>
    </sheetView>
  </sheetViews>
  <sheetFormatPr defaultColWidth="9.140625" defaultRowHeight="15" x14ac:dyDescent="0.25"/>
  <cols>
    <col min="1" max="1" width="6" style="135" customWidth="1"/>
    <col min="2" max="2" width="11.42578125" style="135" customWidth="1"/>
    <col min="3" max="3" width="65.7109375" style="135" customWidth="1"/>
    <col min="4" max="4" width="3.5703125" style="135" customWidth="1"/>
    <col min="5" max="5" width="5.7109375" style="135" customWidth="1"/>
    <col min="6" max="6" width="6.7109375" style="135" customWidth="1"/>
    <col min="7" max="7" width="8.5703125" style="135" customWidth="1"/>
    <col min="8" max="8" width="15.5703125" style="135" customWidth="1"/>
    <col min="9" max="9" width="3.5703125" style="135" customWidth="1"/>
    <col min="10" max="10" width="25.7109375" style="135" customWidth="1"/>
    <col min="11" max="11" width="33.42578125" style="135" customWidth="1"/>
    <col min="12" max="14" width="8.85546875" style="181" customWidth="1"/>
    <col min="15" max="16384" width="9.140625" style="135"/>
  </cols>
  <sheetData>
    <row r="1" spans="1:14" ht="20.100000000000001" customHeight="1" x14ac:dyDescent="0.25">
      <c r="A1" s="314"/>
      <c r="B1" s="314"/>
      <c r="C1" s="315" t="s">
        <v>188</v>
      </c>
      <c r="D1" s="315"/>
      <c r="E1" s="315"/>
      <c r="F1" s="315"/>
      <c r="G1" s="315"/>
      <c r="H1" s="315"/>
      <c r="I1" s="315"/>
      <c r="J1" s="315"/>
      <c r="K1" s="162"/>
      <c r="L1" s="163"/>
      <c r="M1" s="163"/>
      <c r="N1" s="163"/>
    </row>
    <row r="2" spans="1:14" s="46" customFormat="1" ht="30" customHeight="1" x14ac:dyDescent="0.25">
      <c r="A2" s="314"/>
      <c r="B2" s="314"/>
      <c r="C2" s="315"/>
      <c r="D2" s="315"/>
      <c r="E2" s="315"/>
      <c r="F2" s="315"/>
      <c r="G2" s="315"/>
      <c r="H2" s="315"/>
      <c r="I2" s="315"/>
      <c r="J2" s="315"/>
      <c r="K2" s="164"/>
      <c r="L2" s="165"/>
      <c r="M2" s="165"/>
      <c r="N2" s="165"/>
    </row>
    <row r="3" spans="1:14" ht="20.100000000000001" customHeight="1" x14ac:dyDescent="0.25">
      <c r="A3" s="314"/>
      <c r="B3" s="314"/>
      <c r="C3" s="315"/>
      <c r="D3" s="315"/>
      <c r="E3" s="315"/>
      <c r="F3" s="315"/>
      <c r="G3" s="315"/>
      <c r="H3" s="315"/>
      <c r="I3" s="315"/>
      <c r="J3" s="315"/>
      <c r="K3" s="162"/>
      <c r="L3" s="163"/>
      <c r="M3" s="163"/>
      <c r="N3" s="163"/>
    </row>
    <row r="4" spans="1:14" ht="20.100000000000001" customHeight="1" x14ac:dyDescent="0.25">
      <c r="A4" s="314"/>
      <c r="B4" s="314"/>
      <c r="C4" s="315"/>
      <c r="D4" s="315"/>
      <c r="E4" s="315"/>
      <c r="F4" s="315"/>
      <c r="G4" s="315"/>
      <c r="H4" s="315"/>
      <c r="I4" s="315"/>
      <c r="J4" s="315"/>
      <c r="K4" s="162"/>
      <c r="L4" s="163"/>
      <c r="M4" s="163"/>
      <c r="N4" s="163"/>
    </row>
    <row r="5" spans="1:14" ht="9.9499999999999993" customHeight="1" x14ac:dyDescent="0.25">
      <c r="A5" s="162"/>
      <c r="B5" s="162"/>
      <c r="C5" s="162"/>
      <c r="D5" s="162"/>
      <c r="E5" s="162"/>
      <c r="F5" s="162"/>
      <c r="G5" s="316"/>
      <c r="H5" s="316"/>
      <c r="I5" s="316"/>
      <c r="J5" s="316"/>
      <c r="K5" s="162"/>
      <c r="L5" s="163"/>
      <c r="M5" s="163"/>
      <c r="N5" s="163"/>
    </row>
    <row r="6" spans="1:14" ht="24.95" customHeight="1" x14ac:dyDescent="0.25">
      <c r="A6" s="297" t="s">
        <v>189</v>
      </c>
      <c r="B6" s="297"/>
      <c r="C6" s="194" t="s">
        <v>214</v>
      </c>
      <c r="E6" s="166"/>
      <c r="F6" s="317" t="s">
        <v>190</v>
      </c>
      <c r="G6" s="317"/>
      <c r="H6" s="317"/>
      <c r="I6" s="196"/>
      <c r="J6" s="197" t="s">
        <v>191</v>
      </c>
      <c r="K6" s="167"/>
      <c r="L6" s="163"/>
      <c r="M6" s="163"/>
      <c r="N6" s="163"/>
    </row>
    <row r="7" spans="1:14" ht="30" customHeight="1" x14ac:dyDescent="0.25">
      <c r="A7" s="297" t="s">
        <v>192</v>
      </c>
      <c r="B7" s="297"/>
      <c r="C7" s="195" t="s">
        <v>215</v>
      </c>
      <c r="E7" s="166"/>
      <c r="F7" s="318" t="s">
        <v>213</v>
      </c>
      <c r="G7" s="318"/>
      <c r="H7" s="318"/>
      <c r="I7" s="198"/>
      <c r="J7" s="199" t="str">
        <f>'Cronograma fisico financeiro'!L13</f>
        <v>Data base: 11/2021</v>
      </c>
      <c r="K7" s="168"/>
      <c r="L7" s="163"/>
      <c r="M7" s="163"/>
      <c r="N7" s="163"/>
    </row>
    <row r="8" spans="1:14" ht="24.95" customHeight="1" x14ac:dyDescent="0.25">
      <c r="A8" s="297" t="s">
        <v>193</v>
      </c>
      <c r="B8" s="297"/>
      <c r="C8" s="195" t="s">
        <v>216</v>
      </c>
      <c r="E8" s="313" t="s">
        <v>194</v>
      </c>
      <c r="F8" s="298" t="s">
        <v>219</v>
      </c>
      <c r="G8" s="299"/>
      <c r="H8" s="294" t="s">
        <v>202</v>
      </c>
      <c r="I8" s="295"/>
      <c r="J8" s="296"/>
      <c r="K8" s="166"/>
      <c r="L8" s="163"/>
      <c r="M8" s="163"/>
      <c r="N8" s="163"/>
    </row>
    <row r="9" spans="1:14" ht="24.95" customHeight="1" x14ac:dyDescent="0.25">
      <c r="A9" s="297" t="s">
        <v>195</v>
      </c>
      <c r="B9" s="297"/>
      <c r="C9" s="195"/>
      <c r="E9" s="313"/>
      <c r="F9" s="298" t="s">
        <v>203</v>
      </c>
      <c r="G9" s="299"/>
      <c r="H9" s="300" t="str">
        <f>IF(G13="","Cálculo automático",(CONCATENATE(G13," dias a partir da data de assinatura do convênio")))</f>
        <v>630 dias a partir da data de assinatura do convênio</v>
      </c>
      <c r="I9" s="300"/>
      <c r="J9" s="301"/>
      <c r="K9" s="166"/>
      <c r="L9" s="163"/>
      <c r="M9" s="163"/>
      <c r="N9" s="163"/>
    </row>
    <row r="10" spans="1:14" x14ac:dyDescent="0.25">
      <c r="A10" s="162"/>
      <c r="B10" s="169"/>
      <c r="C10" s="169"/>
      <c r="D10" s="162"/>
      <c r="E10" s="162"/>
      <c r="F10" s="162"/>
      <c r="G10" s="162"/>
      <c r="H10" s="162"/>
      <c r="I10" s="162"/>
      <c r="J10" s="162"/>
      <c r="K10" s="162"/>
      <c r="L10" s="163"/>
      <c r="M10" s="163"/>
      <c r="N10" s="163"/>
    </row>
    <row r="11" spans="1:14" x14ac:dyDescent="0.25">
      <c r="A11" s="302" t="s">
        <v>2</v>
      </c>
      <c r="B11" s="304" t="s">
        <v>183</v>
      </c>
      <c r="C11" s="305"/>
      <c r="D11" s="302" t="s">
        <v>196</v>
      </c>
      <c r="E11" s="309" t="s">
        <v>204</v>
      </c>
      <c r="F11" s="309"/>
      <c r="G11" s="309"/>
      <c r="H11" s="309"/>
      <c r="I11" s="310"/>
      <c r="J11" s="319" t="s">
        <v>8</v>
      </c>
      <c r="K11" s="162"/>
      <c r="L11" s="163"/>
      <c r="M11" s="163"/>
      <c r="N11" s="163"/>
    </row>
    <row r="12" spans="1:14" ht="5.45" customHeight="1" x14ac:dyDescent="0.25">
      <c r="A12" s="303"/>
      <c r="B12" s="306"/>
      <c r="C12" s="307"/>
      <c r="D12" s="303"/>
      <c r="E12" s="322"/>
      <c r="F12" s="322"/>
      <c r="G12" s="322"/>
      <c r="H12" s="322"/>
      <c r="I12" s="323"/>
      <c r="J12" s="320"/>
      <c r="K12" s="162"/>
      <c r="L12" s="163"/>
      <c r="M12" s="163"/>
      <c r="N12" s="163"/>
    </row>
    <row r="13" spans="1:14" ht="15" customHeight="1" x14ac:dyDescent="0.25">
      <c r="A13" s="303"/>
      <c r="B13" s="306"/>
      <c r="C13" s="307"/>
      <c r="D13" s="303"/>
      <c r="E13" s="324" t="s">
        <v>205</v>
      </c>
      <c r="F13" s="325"/>
      <c r="G13" s="203">
        <f>IF(H15="XXX","",SUM(H14:H17))</f>
        <v>630</v>
      </c>
      <c r="H13" s="326" t="s">
        <v>206</v>
      </c>
      <c r="I13" s="327"/>
      <c r="J13" s="320"/>
      <c r="K13" s="162"/>
      <c r="L13" s="163"/>
      <c r="M13" s="163"/>
      <c r="N13" s="163"/>
    </row>
    <row r="14" spans="1:14" ht="20.100000000000001" customHeight="1" x14ac:dyDescent="0.25">
      <c r="A14" s="303"/>
      <c r="B14" s="306"/>
      <c r="C14" s="307"/>
      <c r="D14" s="308"/>
      <c r="E14" s="311" t="s">
        <v>207</v>
      </c>
      <c r="F14" s="312"/>
      <c r="G14" s="312"/>
      <c r="H14" s="200">
        <v>180</v>
      </c>
      <c r="I14" s="170"/>
      <c r="J14" s="321"/>
      <c r="K14" s="162"/>
      <c r="L14" s="163"/>
      <c r="M14" s="163"/>
      <c r="N14" s="163"/>
    </row>
    <row r="15" spans="1:14" ht="20.100000000000001" customHeight="1" x14ac:dyDescent="0.25">
      <c r="A15" s="303"/>
      <c r="B15" s="306"/>
      <c r="C15" s="307"/>
      <c r="D15" s="308"/>
      <c r="E15" s="311" t="s">
        <v>208</v>
      </c>
      <c r="F15" s="312"/>
      <c r="G15" s="312"/>
      <c r="H15" s="201">
        <v>240</v>
      </c>
      <c r="I15" s="171"/>
      <c r="J15" s="321"/>
      <c r="K15" s="162"/>
      <c r="L15" s="163"/>
      <c r="M15" s="163"/>
      <c r="N15" s="163"/>
    </row>
    <row r="16" spans="1:14" ht="20.100000000000001" customHeight="1" x14ac:dyDescent="0.25">
      <c r="A16" s="303"/>
      <c r="B16" s="306"/>
      <c r="C16" s="307"/>
      <c r="D16" s="308"/>
      <c r="E16" s="311" t="s">
        <v>209</v>
      </c>
      <c r="F16" s="312"/>
      <c r="G16" s="312"/>
      <c r="H16" s="200">
        <v>30</v>
      </c>
      <c r="I16" s="172"/>
      <c r="J16" s="321"/>
      <c r="K16" s="162"/>
      <c r="L16" s="163"/>
      <c r="M16" s="163"/>
      <c r="N16" s="163"/>
    </row>
    <row r="17" spans="1:14" ht="20.100000000000001" customHeight="1" x14ac:dyDescent="0.25">
      <c r="A17" s="173"/>
      <c r="B17" s="174"/>
      <c r="C17" s="175"/>
      <c r="D17" s="176"/>
      <c r="E17" s="292" t="s">
        <v>210</v>
      </c>
      <c r="F17" s="293"/>
      <c r="G17" s="293"/>
      <c r="H17" s="202">
        <v>180</v>
      </c>
      <c r="I17" s="177"/>
      <c r="J17" s="178"/>
      <c r="K17" s="162"/>
      <c r="L17" s="163"/>
      <c r="M17" s="163"/>
      <c r="N17" s="163"/>
    </row>
    <row r="18" spans="1:14" ht="24.95" customHeight="1" x14ac:dyDescent="0.25">
      <c r="A18" s="281">
        <v>1</v>
      </c>
      <c r="B18" s="283" t="s">
        <v>10</v>
      </c>
      <c r="C18" s="284"/>
      <c r="D18" s="204" t="s">
        <v>184</v>
      </c>
      <c r="E18" s="205"/>
      <c r="F18" s="287">
        <f>IFERROR($E19/J19,0)</f>
        <v>1</v>
      </c>
      <c r="G18" s="287"/>
      <c r="H18" s="287"/>
      <c r="I18" s="288"/>
      <c r="J18" s="206">
        <f>F18</f>
        <v>1</v>
      </c>
    </row>
    <row r="19" spans="1:14" ht="24.95" customHeight="1" x14ac:dyDescent="0.25">
      <c r="A19" s="282"/>
      <c r="B19" s="285"/>
      <c r="C19" s="286"/>
      <c r="D19" s="207" t="s">
        <v>197</v>
      </c>
      <c r="E19" s="289">
        <f>'Cronograma fisico financeiro'!L18</f>
        <v>4530.49</v>
      </c>
      <c r="F19" s="290"/>
      <c r="G19" s="290"/>
      <c r="H19" s="290"/>
      <c r="I19" s="291"/>
      <c r="J19" s="208">
        <f>IFERROR(E19+0,0)</f>
        <v>4530.49</v>
      </c>
    </row>
    <row r="20" spans="1:14" ht="24.95" customHeight="1" x14ac:dyDescent="0.25">
      <c r="A20" s="281">
        <v>2</v>
      </c>
      <c r="B20" s="283" t="s">
        <v>16</v>
      </c>
      <c r="C20" s="284"/>
      <c r="D20" s="204" t="s">
        <v>184</v>
      </c>
      <c r="E20" s="209"/>
      <c r="F20" s="287">
        <f>IFERROR($E21/J21,0)</f>
        <v>1</v>
      </c>
      <c r="G20" s="287"/>
      <c r="H20" s="287"/>
      <c r="I20" s="288"/>
      <c r="J20" s="206">
        <f>F20</f>
        <v>1</v>
      </c>
    </row>
    <row r="21" spans="1:14" ht="24.95" customHeight="1" x14ac:dyDescent="0.25">
      <c r="A21" s="282"/>
      <c r="B21" s="285"/>
      <c r="C21" s="286"/>
      <c r="D21" s="207" t="s">
        <v>197</v>
      </c>
      <c r="E21" s="289">
        <f>'Cronograma fisico financeiro'!L20</f>
        <v>219090.05</v>
      </c>
      <c r="F21" s="290"/>
      <c r="G21" s="290"/>
      <c r="H21" s="290"/>
      <c r="I21" s="291"/>
      <c r="J21" s="208">
        <f>IFERROR(E21+0,0)</f>
        <v>219090.05</v>
      </c>
    </row>
    <row r="22" spans="1:14" ht="24.95" customHeight="1" x14ac:dyDescent="0.25">
      <c r="A22" s="281">
        <v>3</v>
      </c>
      <c r="B22" s="283" t="s">
        <v>27</v>
      </c>
      <c r="C22" s="284"/>
      <c r="D22" s="204" t="s">
        <v>184</v>
      </c>
      <c r="E22" s="209"/>
      <c r="F22" s="287">
        <f>IFERROR($E23/J23,0)</f>
        <v>1</v>
      </c>
      <c r="G22" s="287"/>
      <c r="H22" s="287"/>
      <c r="I22" s="288"/>
      <c r="J22" s="206">
        <f>F22</f>
        <v>1</v>
      </c>
    </row>
    <row r="23" spans="1:14" ht="24.95" customHeight="1" x14ac:dyDescent="0.25">
      <c r="A23" s="282"/>
      <c r="B23" s="285"/>
      <c r="C23" s="286"/>
      <c r="D23" s="207" t="s">
        <v>197</v>
      </c>
      <c r="E23" s="289">
        <f>'Cronograma fisico financeiro'!L22</f>
        <v>174842.87</v>
      </c>
      <c r="F23" s="290"/>
      <c r="G23" s="290"/>
      <c r="H23" s="290"/>
      <c r="I23" s="291"/>
      <c r="J23" s="208">
        <f>IFERROR(E23+0,0)</f>
        <v>174842.87</v>
      </c>
    </row>
    <row r="24" spans="1:14" ht="24.95" hidden="1" customHeight="1" x14ac:dyDescent="0.25">
      <c r="A24" s="270">
        <v>4</v>
      </c>
      <c r="B24" s="272" t="s">
        <v>211</v>
      </c>
      <c r="C24" s="273"/>
      <c r="D24" s="179" t="s">
        <v>184</v>
      </c>
      <c r="E24" s="184"/>
      <c r="F24" s="276">
        <f>IFERROR($E25/J25,0)</f>
        <v>0</v>
      </c>
      <c r="G24" s="276"/>
      <c r="H24" s="276"/>
      <c r="I24" s="277"/>
      <c r="J24" s="180">
        <f>F24</f>
        <v>0</v>
      </c>
    </row>
    <row r="25" spans="1:14" ht="24.95" hidden="1" customHeight="1" x14ac:dyDescent="0.25">
      <c r="A25" s="271"/>
      <c r="B25" s="274"/>
      <c r="C25" s="275"/>
      <c r="D25" s="182" t="s">
        <v>197</v>
      </c>
      <c r="E25" s="278" t="s">
        <v>212</v>
      </c>
      <c r="F25" s="279"/>
      <c r="G25" s="279"/>
      <c r="H25" s="279"/>
      <c r="I25" s="280"/>
      <c r="J25" s="183">
        <f>IFERROR(E25+0,0)</f>
        <v>0</v>
      </c>
    </row>
    <row r="26" spans="1:14" ht="24.95" hidden="1" customHeight="1" x14ac:dyDescent="0.25">
      <c r="A26" s="270">
        <v>5</v>
      </c>
      <c r="B26" s="272" t="s">
        <v>211</v>
      </c>
      <c r="C26" s="273"/>
      <c r="D26" s="179" t="s">
        <v>184</v>
      </c>
      <c r="E26" s="184"/>
      <c r="F26" s="276">
        <f>IFERROR($E27/J27,0)</f>
        <v>0</v>
      </c>
      <c r="G26" s="276"/>
      <c r="H26" s="276"/>
      <c r="I26" s="277"/>
      <c r="J26" s="180">
        <f>F26</f>
        <v>0</v>
      </c>
    </row>
    <row r="27" spans="1:14" ht="24.95" hidden="1" customHeight="1" x14ac:dyDescent="0.25">
      <c r="A27" s="271"/>
      <c r="B27" s="274"/>
      <c r="C27" s="275"/>
      <c r="D27" s="182" t="s">
        <v>197</v>
      </c>
      <c r="E27" s="278" t="s">
        <v>212</v>
      </c>
      <c r="F27" s="279"/>
      <c r="G27" s="279"/>
      <c r="H27" s="279"/>
      <c r="I27" s="280"/>
      <c r="J27" s="183">
        <f>IFERROR(E27+0,0)</f>
        <v>0</v>
      </c>
    </row>
    <row r="28" spans="1:14" ht="24.95" hidden="1" customHeight="1" x14ac:dyDescent="0.25">
      <c r="A28" s="270">
        <v>6</v>
      </c>
      <c r="B28" s="272" t="s">
        <v>211</v>
      </c>
      <c r="C28" s="273"/>
      <c r="D28" s="179" t="s">
        <v>184</v>
      </c>
      <c r="E28" s="184"/>
      <c r="F28" s="276">
        <f>IFERROR($E29/J29,0)</f>
        <v>0</v>
      </c>
      <c r="G28" s="276"/>
      <c r="H28" s="276"/>
      <c r="I28" s="277"/>
      <c r="J28" s="180">
        <f>F28</f>
        <v>0</v>
      </c>
    </row>
    <row r="29" spans="1:14" ht="24.95" hidden="1" customHeight="1" x14ac:dyDescent="0.25">
      <c r="A29" s="271"/>
      <c r="B29" s="274"/>
      <c r="C29" s="275"/>
      <c r="D29" s="182" t="s">
        <v>197</v>
      </c>
      <c r="E29" s="278" t="s">
        <v>212</v>
      </c>
      <c r="F29" s="279"/>
      <c r="G29" s="279"/>
      <c r="H29" s="279"/>
      <c r="I29" s="280"/>
      <c r="J29" s="183">
        <f>IFERROR(E29+0,0)</f>
        <v>0</v>
      </c>
    </row>
    <row r="30" spans="1:14" ht="24.95" hidden="1" customHeight="1" x14ac:dyDescent="0.25">
      <c r="A30" s="270">
        <v>7</v>
      </c>
      <c r="B30" s="272" t="s">
        <v>211</v>
      </c>
      <c r="C30" s="273"/>
      <c r="D30" s="179" t="s">
        <v>184</v>
      </c>
      <c r="E30" s="184"/>
      <c r="F30" s="276">
        <f>IFERROR($E31/J31,0)</f>
        <v>0</v>
      </c>
      <c r="G30" s="276"/>
      <c r="H30" s="276"/>
      <c r="I30" s="277"/>
      <c r="J30" s="180">
        <f>F30</f>
        <v>0</v>
      </c>
    </row>
    <row r="31" spans="1:14" ht="24.95" hidden="1" customHeight="1" x14ac:dyDescent="0.25">
      <c r="A31" s="271"/>
      <c r="B31" s="274"/>
      <c r="C31" s="275"/>
      <c r="D31" s="182" t="s">
        <v>197</v>
      </c>
      <c r="E31" s="278" t="s">
        <v>212</v>
      </c>
      <c r="F31" s="279"/>
      <c r="G31" s="279"/>
      <c r="H31" s="279"/>
      <c r="I31" s="280"/>
      <c r="J31" s="183">
        <f>IFERROR(E31+0,0)</f>
        <v>0</v>
      </c>
    </row>
    <row r="32" spans="1:14" ht="24.95" hidden="1" customHeight="1" x14ac:dyDescent="0.25">
      <c r="A32" s="270">
        <v>8</v>
      </c>
      <c r="B32" s="272" t="s">
        <v>211</v>
      </c>
      <c r="C32" s="273"/>
      <c r="D32" s="179" t="s">
        <v>184</v>
      </c>
      <c r="E32" s="184"/>
      <c r="F32" s="276">
        <f>IFERROR($E33/J33,0)</f>
        <v>0</v>
      </c>
      <c r="G32" s="276"/>
      <c r="H32" s="276"/>
      <c r="I32" s="277"/>
      <c r="J32" s="180">
        <f>F32</f>
        <v>0</v>
      </c>
    </row>
    <row r="33" spans="1:14" ht="24.95" hidden="1" customHeight="1" x14ac:dyDescent="0.25">
      <c r="A33" s="271"/>
      <c r="B33" s="274"/>
      <c r="C33" s="275"/>
      <c r="D33" s="182" t="s">
        <v>197</v>
      </c>
      <c r="E33" s="278" t="s">
        <v>212</v>
      </c>
      <c r="F33" s="279"/>
      <c r="G33" s="279"/>
      <c r="H33" s="279"/>
      <c r="I33" s="280"/>
      <c r="J33" s="183">
        <f>IFERROR(E33+0,0)</f>
        <v>0</v>
      </c>
    </row>
    <row r="34" spans="1:14" ht="24.95" hidden="1" customHeight="1" x14ac:dyDescent="0.25">
      <c r="A34" s="270">
        <v>9</v>
      </c>
      <c r="B34" s="272" t="s">
        <v>211</v>
      </c>
      <c r="C34" s="273"/>
      <c r="D34" s="179" t="s">
        <v>184</v>
      </c>
      <c r="E34" s="184"/>
      <c r="F34" s="276">
        <f>IFERROR($E35/J35,0)</f>
        <v>0</v>
      </c>
      <c r="G34" s="276"/>
      <c r="H34" s="276"/>
      <c r="I34" s="277"/>
      <c r="J34" s="180">
        <f>F34</f>
        <v>0</v>
      </c>
    </row>
    <row r="35" spans="1:14" ht="24.95" hidden="1" customHeight="1" x14ac:dyDescent="0.25">
      <c r="A35" s="271"/>
      <c r="B35" s="274"/>
      <c r="C35" s="275"/>
      <c r="D35" s="182" t="s">
        <v>197</v>
      </c>
      <c r="E35" s="278" t="s">
        <v>212</v>
      </c>
      <c r="F35" s="279"/>
      <c r="G35" s="279"/>
      <c r="H35" s="279"/>
      <c r="I35" s="280"/>
      <c r="J35" s="183">
        <f>IFERROR(E35+0,0)</f>
        <v>0</v>
      </c>
    </row>
    <row r="36" spans="1:14" ht="24.95" hidden="1" customHeight="1" x14ac:dyDescent="0.25">
      <c r="A36" s="270">
        <v>10</v>
      </c>
      <c r="B36" s="272" t="s">
        <v>211</v>
      </c>
      <c r="C36" s="273"/>
      <c r="D36" s="179" t="s">
        <v>184</v>
      </c>
      <c r="E36" s="184"/>
      <c r="F36" s="276">
        <f>IFERROR($E37/J37,0)</f>
        <v>0</v>
      </c>
      <c r="G36" s="276"/>
      <c r="H36" s="276"/>
      <c r="I36" s="277"/>
      <c r="J36" s="180">
        <f>F36</f>
        <v>0</v>
      </c>
    </row>
    <row r="37" spans="1:14" ht="24.95" hidden="1" customHeight="1" x14ac:dyDescent="0.25">
      <c r="A37" s="271"/>
      <c r="B37" s="274"/>
      <c r="C37" s="275"/>
      <c r="D37" s="182" t="s">
        <v>197</v>
      </c>
      <c r="E37" s="278" t="s">
        <v>212</v>
      </c>
      <c r="F37" s="279"/>
      <c r="G37" s="279"/>
      <c r="H37" s="279"/>
      <c r="I37" s="280"/>
      <c r="J37" s="183">
        <f>IFERROR(E37+0,0)</f>
        <v>0</v>
      </c>
    </row>
    <row r="38" spans="1:14" ht="24.95" hidden="1" customHeight="1" x14ac:dyDescent="0.25">
      <c r="A38" s="270">
        <v>11</v>
      </c>
      <c r="B38" s="272" t="s">
        <v>211</v>
      </c>
      <c r="C38" s="273"/>
      <c r="D38" s="179" t="s">
        <v>184</v>
      </c>
      <c r="E38" s="184"/>
      <c r="F38" s="276">
        <f>IFERROR($E39/J39,0)</f>
        <v>0</v>
      </c>
      <c r="G38" s="276"/>
      <c r="H38" s="276"/>
      <c r="I38" s="277"/>
      <c r="J38" s="180">
        <f>F38</f>
        <v>0</v>
      </c>
    </row>
    <row r="39" spans="1:14" ht="24.95" hidden="1" customHeight="1" x14ac:dyDescent="0.25">
      <c r="A39" s="271"/>
      <c r="B39" s="274"/>
      <c r="C39" s="275"/>
      <c r="D39" s="182" t="s">
        <v>197</v>
      </c>
      <c r="E39" s="278" t="s">
        <v>212</v>
      </c>
      <c r="F39" s="279"/>
      <c r="G39" s="279"/>
      <c r="H39" s="279"/>
      <c r="I39" s="280"/>
      <c r="J39" s="183">
        <f>IFERROR(E39+0,0)</f>
        <v>0</v>
      </c>
    </row>
    <row r="40" spans="1:14" ht="24.95" hidden="1" customHeight="1" x14ac:dyDescent="0.25">
      <c r="A40" s="270">
        <v>12</v>
      </c>
      <c r="B40" s="272" t="s">
        <v>211</v>
      </c>
      <c r="C40" s="273"/>
      <c r="D40" s="179" t="s">
        <v>184</v>
      </c>
      <c r="E40" s="184"/>
      <c r="F40" s="276">
        <f>IFERROR($E41/J41,0)</f>
        <v>0</v>
      </c>
      <c r="G40" s="276"/>
      <c r="H40" s="276"/>
      <c r="I40" s="277"/>
      <c r="J40" s="180">
        <f>F40</f>
        <v>0</v>
      </c>
    </row>
    <row r="41" spans="1:14" ht="24.95" hidden="1" customHeight="1" x14ac:dyDescent="0.25">
      <c r="A41" s="271"/>
      <c r="B41" s="274"/>
      <c r="C41" s="275"/>
      <c r="D41" s="182" t="s">
        <v>197</v>
      </c>
      <c r="E41" s="278" t="s">
        <v>212</v>
      </c>
      <c r="F41" s="279"/>
      <c r="G41" s="279"/>
      <c r="H41" s="279"/>
      <c r="I41" s="280"/>
      <c r="J41" s="183">
        <f>IFERROR(E41+0,0)</f>
        <v>0</v>
      </c>
    </row>
    <row r="42" spans="1:14" ht="24.95" hidden="1" customHeight="1" x14ac:dyDescent="0.25">
      <c r="A42" s="270">
        <v>13</v>
      </c>
      <c r="B42" s="272" t="s">
        <v>211</v>
      </c>
      <c r="C42" s="273"/>
      <c r="D42" s="179" t="s">
        <v>184</v>
      </c>
      <c r="E42" s="184"/>
      <c r="F42" s="276">
        <f>IFERROR($E43/J43,0)</f>
        <v>0</v>
      </c>
      <c r="G42" s="276"/>
      <c r="H42" s="276"/>
      <c r="I42" s="277"/>
      <c r="J42" s="180">
        <f>F42</f>
        <v>0</v>
      </c>
    </row>
    <row r="43" spans="1:14" ht="24.95" hidden="1" customHeight="1" x14ac:dyDescent="0.25">
      <c r="A43" s="271"/>
      <c r="B43" s="274"/>
      <c r="C43" s="275"/>
      <c r="D43" s="182" t="s">
        <v>197</v>
      </c>
      <c r="E43" s="278" t="s">
        <v>212</v>
      </c>
      <c r="F43" s="279"/>
      <c r="G43" s="279"/>
      <c r="H43" s="279"/>
      <c r="I43" s="280"/>
      <c r="J43" s="183">
        <f>IFERROR(E43+0,0)</f>
        <v>0</v>
      </c>
    </row>
    <row r="44" spans="1:14" ht="24.95" hidden="1" customHeight="1" x14ac:dyDescent="0.25">
      <c r="A44" s="270">
        <v>14</v>
      </c>
      <c r="B44" s="272" t="s">
        <v>211</v>
      </c>
      <c r="C44" s="273"/>
      <c r="D44" s="179" t="s">
        <v>184</v>
      </c>
      <c r="E44" s="184"/>
      <c r="F44" s="276">
        <f>IFERROR($E45/J45,0)</f>
        <v>0</v>
      </c>
      <c r="G44" s="276"/>
      <c r="H44" s="276"/>
      <c r="I44" s="277"/>
      <c r="J44" s="180">
        <f>F44</f>
        <v>0</v>
      </c>
    </row>
    <row r="45" spans="1:14" ht="24.95" hidden="1" customHeight="1" x14ac:dyDescent="0.25">
      <c r="A45" s="271"/>
      <c r="B45" s="274"/>
      <c r="C45" s="275"/>
      <c r="D45" s="182" t="s">
        <v>197</v>
      </c>
      <c r="E45" s="278" t="s">
        <v>212</v>
      </c>
      <c r="F45" s="279"/>
      <c r="G45" s="279"/>
      <c r="H45" s="279"/>
      <c r="I45" s="280"/>
      <c r="J45" s="183">
        <f>IFERROR(E45+0,0)</f>
        <v>0</v>
      </c>
    </row>
    <row r="46" spans="1:14" ht="24.95" hidden="1" customHeight="1" x14ac:dyDescent="0.25">
      <c r="A46" s="270">
        <v>15</v>
      </c>
      <c r="B46" s="272" t="s">
        <v>211</v>
      </c>
      <c r="C46" s="273"/>
      <c r="D46" s="179" t="s">
        <v>184</v>
      </c>
      <c r="E46" s="184"/>
      <c r="F46" s="276">
        <f>IFERROR($E47/J47,0)</f>
        <v>0</v>
      </c>
      <c r="G46" s="276"/>
      <c r="H46" s="276"/>
      <c r="I46" s="277"/>
      <c r="J46" s="180">
        <f>F46</f>
        <v>0</v>
      </c>
    </row>
    <row r="47" spans="1:14" ht="24.95" hidden="1" customHeight="1" x14ac:dyDescent="0.25">
      <c r="A47" s="271"/>
      <c r="B47" s="274"/>
      <c r="C47" s="275"/>
      <c r="D47" s="182" t="s">
        <v>197</v>
      </c>
      <c r="E47" s="278" t="s">
        <v>212</v>
      </c>
      <c r="F47" s="279"/>
      <c r="G47" s="279"/>
      <c r="H47" s="279"/>
      <c r="I47" s="280"/>
      <c r="J47" s="183">
        <f>IFERROR(E47+0,0)</f>
        <v>0</v>
      </c>
      <c r="K47" s="185"/>
    </row>
    <row r="48" spans="1:14" ht="15" customHeight="1" x14ac:dyDescent="0.25">
      <c r="A48" s="264"/>
      <c r="B48" s="265"/>
      <c r="C48" s="265"/>
      <c r="D48" s="266"/>
      <c r="E48" s="265"/>
      <c r="F48" s="265"/>
      <c r="G48" s="265"/>
      <c r="H48" s="265"/>
      <c r="I48" s="266"/>
      <c r="J48" s="186"/>
      <c r="K48" s="162"/>
      <c r="L48" s="187"/>
      <c r="M48" s="163"/>
      <c r="N48" s="163"/>
    </row>
    <row r="49" spans="1:14" ht="30" customHeight="1" x14ac:dyDescent="0.25">
      <c r="A49" s="254" t="s">
        <v>198</v>
      </c>
      <c r="B49" s="254"/>
      <c r="C49" s="254"/>
      <c r="D49" s="254"/>
      <c r="E49" s="255">
        <f>IFERROR(E51-E50,"")</f>
        <v>398463.41</v>
      </c>
      <c r="F49" s="256"/>
      <c r="G49" s="256"/>
      <c r="H49" s="256"/>
      <c r="I49" s="257"/>
      <c r="J49" s="210">
        <f>IFERROR(E49,"")</f>
        <v>398463.41</v>
      </c>
      <c r="K49" s="162"/>
      <c r="L49" s="187"/>
      <c r="M49" s="163"/>
      <c r="N49" s="163"/>
    </row>
    <row r="50" spans="1:14" ht="30" customHeight="1" x14ac:dyDescent="0.25">
      <c r="A50" s="254" t="s">
        <v>199</v>
      </c>
      <c r="B50" s="254"/>
      <c r="C50" s="254"/>
      <c r="D50" s="254"/>
      <c r="E50" s="267">
        <f>Planilha_Orçamentaria_183!L37</f>
        <v>0</v>
      </c>
      <c r="F50" s="268"/>
      <c r="G50" s="268"/>
      <c r="H50" s="268"/>
      <c r="I50" s="269"/>
      <c r="J50" s="210">
        <f>IF(E50="Lançar o valor da contrapartida, mesmo que ZERO","",E50)</f>
        <v>0</v>
      </c>
      <c r="K50" s="162"/>
      <c r="L50" s="187"/>
      <c r="M50" s="163"/>
      <c r="N50" s="163"/>
    </row>
    <row r="51" spans="1:14" ht="30" customHeight="1" x14ac:dyDescent="0.25">
      <c r="A51" s="254" t="s">
        <v>200</v>
      </c>
      <c r="B51" s="254"/>
      <c r="C51" s="254"/>
      <c r="D51" s="254"/>
      <c r="E51" s="255">
        <f>SUMIF(E18:E47,"&gt;0")</f>
        <v>398463.41</v>
      </c>
      <c r="F51" s="256"/>
      <c r="G51" s="256"/>
      <c r="H51" s="256"/>
      <c r="I51" s="257"/>
      <c r="J51" s="211">
        <f>IFERROR(E51,"")</f>
        <v>398463.41</v>
      </c>
      <c r="K51" s="162"/>
      <c r="L51" s="163"/>
      <c r="M51" s="163"/>
      <c r="N51" s="163"/>
    </row>
    <row r="52" spans="1:14" ht="30" customHeight="1" x14ac:dyDescent="0.25">
      <c r="A52" s="258" t="s">
        <v>201</v>
      </c>
      <c r="B52" s="258"/>
      <c r="C52" s="258"/>
      <c r="D52" s="258"/>
      <c r="E52" s="259">
        <f>IFERROR(E51/J51,"O percentual será calculado após lançamento dos valores dos itens/serviços")</f>
        <v>1</v>
      </c>
      <c r="F52" s="260"/>
      <c r="G52" s="260"/>
      <c r="H52" s="260"/>
      <c r="I52" s="261"/>
      <c r="J52" s="212">
        <f>IF(E52="O percentual será calculado após lançamento dos valores dos itens/serviços","",E52)</f>
        <v>1</v>
      </c>
      <c r="K52" s="162"/>
      <c r="L52" s="163"/>
      <c r="M52" s="163"/>
      <c r="N52" s="163"/>
    </row>
    <row r="53" spans="1:14" x14ac:dyDescent="0.25">
      <c r="A53" s="162"/>
      <c r="B53" s="162"/>
      <c r="C53" s="188"/>
      <c r="D53" s="188"/>
      <c r="E53" s="189"/>
      <c r="F53" s="189"/>
      <c r="G53" s="189"/>
      <c r="H53" s="189"/>
      <c r="I53" s="189"/>
      <c r="J53" s="189"/>
      <c r="K53" s="162"/>
      <c r="L53" s="163"/>
      <c r="M53" s="163"/>
      <c r="N53" s="163"/>
    </row>
    <row r="54" spans="1:14" x14ac:dyDescent="0.25">
      <c r="A54" s="162"/>
      <c r="B54" s="162"/>
      <c r="C54" s="262"/>
      <c r="D54" s="263"/>
      <c r="E54" s="263"/>
      <c r="F54" s="263"/>
      <c r="G54" s="263"/>
      <c r="H54" s="263"/>
      <c r="I54" s="263"/>
      <c r="J54" s="263"/>
      <c r="K54" s="162"/>
      <c r="L54" s="163"/>
      <c r="M54" s="163"/>
      <c r="N54" s="163"/>
    </row>
    <row r="55" spans="1:14" x14ac:dyDescent="0.25">
      <c r="A55" s="190"/>
      <c r="B55" s="190"/>
      <c r="C55" s="263"/>
      <c r="D55" s="263"/>
      <c r="E55" s="263"/>
      <c r="F55" s="263"/>
      <c r="G55" s="263"/>
      <c r="H55" s="263"/>
      <c r="I55" s="263"/>
      <c r="J55" s="263"/>
      <c r="K55" s="162"/>
      <c r="L55" s="163"/>
      <c r="M55" s="163"/>
      <c r="N55" s="163"/>
    </row>
    <row r="56" spans="1:14" x14ac:dyDescent="0.25">
      <c r="A56" s="191"/>
      <c r="B56" s="191"/>
      <c r="C56" s="263"/>
      <c r="D56" s="263"/>
      <c r="E56" s="263"/>
      <c r="F56" s="263"/>
      <c r="G56" s="263"/>
      <c r="H56" s="263"/>
      <c r="I56" s="263"/>
      <c r="J56" s="263"/>
      <c r="K56" s="162"/>
      <c r="L56" s="163"/>
      <c r="M56" s="163"/>
      <c r="N56" s="163"/>
    </row>
    <row r="57" spans="1:14" x14ac:dyDescent="0.25">
      <c r="A57" s="191"/>
      <c r="B57" s="191"/>
      <c r="C57" s="263"/>
      <c r="D57" s="263"/>
      <c r="E57" s="263"/>
      <c r="F57" s="263"/>
      <c r="G57" s="263"/>
      <c r="H57" s="263"/>
      <c r="I57" s="263"/>
      <c r="J57" s="263"/>
      <c r="K57" s="162"/>
      <c r="L57" s="163"/>
      <c r="M57" s="163"/>
      <c r="N57" s="163"/>
    </row>
    <row r="58" spans="1:14" x14ac:dyDescent="0.25">
      <c r="A58" s="191"/>
      <c r="B58" s="191"/>
      <c r="C58" s="263"/>
      <c r="D58" s="263"/>
      <c r="E58" s="263"/>
      <c r="F58" s="263"/>
      <c r="G58" s="263"/>
      <c r="H58" s="263"/>
      <c r="I58" s="263"/>
      <c r="J58" s="263"/>
      <c r="K58" s="162"/>
      <c r="L58" s="163"/>
      <c r="M58" s="163"/>
      <c r="N58" s="163"/>
    </row>
    <row r="59" spans="1:14" ht="30.75" customHeight="1" x14ac:dyDescent="0.25">
      <c r="A59" s="191"/>
      <c r="B59" s="191"/>
      <c r="C59" s="192"/>
      <c r="D59" s="192"/>
      <c r="E59" s="192"/>
      <c r="F59" s="192"/>
      <c r="G59" s="192"/>
      <c r="H59" s="192"/>
      <c r="I59" s="192"/>
      <c r="J59" s="192"/>
      <c r="K59" s="162"/>
      <c r="L59" s="163"/>
      <c r="M59" s="163"/>
      <c r="N59" s="163"/>
    </row>
    <row r="60" spans="1:14" ht="12" customHeight="1" x14ac:dyDescent="0.25">
      <c r="A60" s="191"/>
      <c r="B60" s="191"/>
      <c r="C60" s="192"/>
      <c r="D60" s="192"/>
      <c r="E60" s="192"/>
      <c r="F60" s="192"/>
      <c r="G60" s="192"/>
      <c r="H60" s="192"/>
      <c r="I60" s="192"/>
      <c r="J60" s="192"/>
      <c r="K60" s="162"/>
      <c r="L60" s="163"/>
      <c r="M60" s="163"/>
      <c r="N60" s="163"/>
    </row>
    <row r="61" spans="1:14" ht="13.5" customHeight="1" x14ac:dyDescent="0.25">
      <c r="A61" s="191"/>
      <c r="B61" s="191"/>
      <c r="C61" s="192"/>
      <c r="D61" s="192"/>
      <c r="E61" s="192"/>
      <c r="F61" s="192"/>
      <c r="G61" s="192"/>
      <c r="H61" s="192"/>
      <c r="I61" s="192"/>
      <c r="J61" s="192"/>
      <c r="K61" s="162"/>
      <c r="L61" s="163"/>
      <c r="M61" s="163"/>
      <c r="N61" s="163"/>
    </row>
    <row r="62" spans="1:14" ht="21" customHeight="1" x14ac:dyDescent="0.25">
      <c r="A62" s="191"/>
      <c r="B62" s="191"/>
      <c r="C62" s="192"/>
      <c r="D62" s="192"/>
      <c r="E62" s="192"/>
      <c r="F62" s="192"/>
      <c r="G62" s="192"/>
      <c r="H62" s="192"/>
      <c r="I62" s="192"/>
      <c r="J62" s="192"/>
      <c r="K62" s="162"/>
      <c r="L62" s="163"/>
      <c r="M62" s="163"/>
      <c r="N62" s="163"/>
    </row>
    <row r="63" spans="1:14" ht="54.95" customHeight="1" x14ac:dyDescent="0.25">
      <c r="A63" s="191"/>
      <c r="B63" s="191"/>
      <c r="C63" s="213"/>
      <c r="D63" s="192"/>
      <c r="E63" s="192"/>
      <c r="F63" s="192"/>
      <c r="G63" s="192"/>
      <c r="H63" s="192"/>
      <c r="I63" s="192"/>
      <c r="J63" s="192"/>
      <c r="K63" s="162"/>
      <c r="L63" s="163"/>
      <c r="M63" s="163"/>
      <c r="N63" s="163"/>
    </row>
    <row r="64" spans="1:14" x14ac:dyDescent="0.25">
      <c r="A64" s="162"/>
      <c r="B64" s="162"/>
      <c r="F64" s="162"/>
      <c r="G64" s="162"/>
      <c r="H64" s="162"/>
      <c r="I64" s="162"/>
      <c r="J64" s="162"/>
      <c r="K64" s="162"/>
      <c r="L64" s="163"/>
      <c r="M64" s="163"/>
      <c r="N64" s="163"/>
    </row>
    <row r="65" spans="1:14" x14ac:dyDescent="0.25">
      <c r="A65" s="162"/>
      <c r="B65" s="162"/>
      <c r="C65" s="214"/>
      <c r="F65" s="162"/>
      <c r="G65" s="162"/>
      <c r="H65" s="162"/>
      <c r="I65" s="162"/>
      <c r="J65" s="162"/>
      <c r="K65" s="162"/>
      <c r="L65" s="163"/>
      <c r="M65" s="163"/>
      <c r="N65" s="163"/>
    </row>
    <row r="66" spans="1:14" x14ac:dyDescent="0.2">
      <c r="C66" s="252" t="s">
        <v>173</v>
      </c>
      <c r="D66" s="252"/>
      <c r="E66" s="252"/>
      <c r="L66" s="163"/>
    </row>
    <row r="67" spans="1:14" x14ac:dyDescent="0.2">
      <c r="C67" s="253" t="s">
        <v>171</v>
      </c>
      <c r="D67" s="253"/>
      <c r="E67" s="253"/>
      <c r="L67" s="163"/>
    </row>
    <row r="68" spans="1:14" x14ac:dyDescent="0.2">
      <c r="C68" s="193" t="s">
        <v>172</v>
      </c>
      <c r="D68" s="193"/>
      <c r="E68" s="193"/>
      <c r="L68" s="163"/>
    </row>
    <row r="69" spans="1:14" x14ac:dyDescent="0.2">
      <c r="C69" s="193" t="s">
        <v>217</v>
      </c>
      <c r="D69" s="193"/>
      <c r="L69" s="163"/>
    </row>
    <row r="70" spans="1:14" x14ac:dyDescent="0.25">
      <c r="L70" s="163"/>
    </row>
    <row r="71" spans="1:14" x14ac:dyDescent="0.25">
      <c r="L71" s="163"/>
    </row>
    <row r="72" spans="1:14" x14ac:dyDescent="0.25">
      <c r="L72" s="163"/>
    </row>
    <row r="73" spans="1:14" x14ac:dyDescent="0.25">
      <c r="L73" s="163"/>
    </row>
    <row r="74" spans="1:14" x14ac:dyDescent="0.25">
      <c r="L74" s="163"/>
    </row>
    <row r="75" spans="1:14" x14ac:dyDescent="0.25">
      <c r="L75" s="163"/>
    </row>
  </sheetData>
  <sheetProtection formatCells="0" formatColumns="0" formatRows="0"/>
  <mergeCells count="99">
    <mergeCell ref="A7:B7"/>
    <mergeCell ref="F7:H7"/>
    <mergeCell ref="J11:J16"/>
    <mergeCell ref="E12:I12"/>
    <mergeCell ref="E13:F13"/>
    <mergeCell ref="H13:I13"/>
    <mergeCell ref="E14:G14"/>
    <mergeCell ref="A1:B4"/>
    <mergeCell ref="C1:J4"/>
    <mergeCell ref="G5:J5"/>
    <mergeCell ref="A6:B6"/>
    <mergeCell ref="F6:H6"/>
    <mergeCell ref="H8:J8"/>
    <mergeCell ref="A9:B9"/>
    <mergeCell ref="F9:G9"/>
    <mergeCell ref="H9:J9"/>
    <mergeCell ref="A11:A16"/>
    <mergeCell ref="B11:C16"/>
    <mergeCell ref="D11:D16"/>
    <mergeCell ref="E11:I11"/>
    <mergeCell ref="E16:G16"/>
    <mergeCell ref="E15:G15"/>
    <mergeCell ref="A8:B8"/>
    <mergeCell ref="E8:E9"/>
    <mergeCell ref="F8:G8"/>
    <mergeCell ref="E17:G17"/>
    <mergeCell ref="A18:A19"/>
    <mergeCell ref="B18:C19"/>
    <mergeCell ref="F18:I18"/>
    <mergeCell ref="E19:I19"/>
    <mergeCell ref="A20:A21"/>
    <mergeCell ref="B20:C21"/>
    <mergeCell ref="F20:I20"/>
    <mergeCell ref="E21:I21"/>
    <mergeCell ref="A22:A23"/>
    <mergeCell ref="B22:C23"/>
    <mergeCell ref="F22:I22"/>
    <mergeCell ref="E23:I23"/>
    <mergeCell ref="A24:A25"/>
    <mergeCell ref="B24:C25"/>
    <mergeCell ref="F24:I24"/>
    <mergeCell ref="E25:I25"/>
    <mergeCell ref="A26:A27"/>
    <mergeCell ref="B26:C27"/>
    <mergeCell ref="F26:I26"/>
    <mergeCell ref="E27:I27"/>
    <mergeCell ref="A28:A29"/>
    <mergeCell ref="B28:C29"/>
    <mergeCell ref="F28:I28"/>
    <mergeCell ref="E29:I29"/>
    <mergeCell ref="A30:A31"/>
    <mergeCell ref="B30:C31"/>
    <mergeCell ref="F30:I30"/>
    <mergeCell ref="E31:I31"/>
    <mergeCell ref="A32:A33"/>
    <mergeCell ref="B32:C33"/>
    <mergeCell ref="F32:I32"/>
    <mergeCell ref="E33:I33"/>
    <mergeCell ref="A34:A35"/>
    <mergeCell ref="B34:C35"/>
    <mergeCell ref="F34:I34"/>
    <mergeCell ref="E35:I35"/>
    <mergeCell ref="A36:A37"/>
    <mergeCell ref="B36:C37"/>
    <mergeCell ref="F36:I36"/>
    <mergeCell ref="E37:I37"/>
    <mergeCell ref="A38:A39"/>
    <mergeCell ref="B38:C39"/>
    <mergeCell ref="F38:I38"/>
    <mergeCell ref="E39:I39"/>
    <mergeCell ref="A40:A41"/>
    <mergeCell ref="B40:C41"/>
    <mergeCell ref="F40:I40"/>
    <mergeCell ref="E41:I41"/>
    <mergeCell ref="A42:A43"/>
    <mergeCell ref="B42:C43"/>
    <mergeCell ref="F42:I42"/>
    <mergeCell ref="E43:I43"/>
    <mergeCell ref="A44:A45"/>
    <mergeCell ref="B44:C45"/>
    <mergeCell ref="F44:I44"/>
    <mergeCell ref="E45:I45"/>
    <mergeCell ref="A46:A47"/>
    <mergeCell ref="B46:C47"/>
    <mergeCell ref="F46:I46"/>
    <mergeCell ref="E47:I47"/>
    <mergeCell ref="A48:D48"/>
    <mergeCell ref="E48:I48"/>
    <mergeCell ref="A49:D49"/>
    <mergeCell ref="E49:I49"/>
    <mergeCell ref="A50:D50"/>
    <mergeCell ref="E50:I50"/>
    <mergeCell ref="C66:E66"/>
    <mergeCell ref="C67:E67"/>
    <mergeCell ref="A51:D51"/>
    <mergeCell ref="E51:I51"/>
    <mergeCell ref="A52:D52"/>
    <mergeCell ref="E52:I52"/>
    <mergeCell ref="C54:J58"/>
  </mergeCells>
  <conditionalFormatting sqref="H9:J9">
    <cfRule type="cellIs" dxfId="40" priority="41" operator="equal">
      <formula>"Cálculo automático"</formula>
    </cfRule>
  </conditionalFormatting>
  <conditionalFormatting sqref="J19">
    <cfRule type="cellIs" dxfId="39" priority="40" operator="equal">
      <formula>"Lançar valor para as duas etapas, mesmo que ZERO"</formula>
    </cfRule>
  </conditionalFormatting>
  <conditionalFormatting sqref="E23:I23 E25:I25 E27:I27 E29:I29 E31:I31 E33:I33 E35:I35 E37:I37 E39:I39 E41:I41 E43:I43 E45:I45 E47:I47 E18:F18 E21:I21 E19:I19">
    <cfRule type="cellIs" dxfId="38" priority="39" operator="equal">
      <formula>0</formula>
    </cfRule>
  </conditionalFormatting>
  <conditionalFormatting sqref="E20:F20">
    <cfRule type="cellIs" dxfId="37" priority="38" operator="equal">
      <formula>0</formula>
    </cfRule>
  </conditionalFormatting>
  <conditionalFormatting sqref="E22:F22">
    <cfRule type="cellIs" dxfId="36" priority="37" operator="equal">
      <formula>0</formula>
    </cfRule>
  </conditionalFormatting>
  <conditionalFormatting sqref="E24:F24">
    <cfRule type="cellIs" dxfId="35" priority="36" operator="equal">
      <formula>0</formula>
    </cfRule>
  </conditionalFormatting>
  <conditionalFormatting sqref="E26:F26">
    <cfRule type="cellIs" dxfId="34" priority="35" operator="equal">
      <formula>0</formula>
    </cfRule>
  </conditionalFormatting>
  <conditionalFormatting sqref="E28:F28">
    <cfRule type="cellIs" dxfId="33" priority="34" operator="equal">
      <formula>0</formula>
    </cfRule>
  </conditionalFormatting>
  <conditionalFormatting sqref="E30:F30">
    <cfRule type="cellIs" dxfId="32" priority="33" operator="equal">
      <formula>0</formula>
    </cfRule>
  </conditionalFormatting>
  <conditionalFormatting sqref="E32:F32">
    <cfRule type="cellIs" dxfId="31" priority="32" operator="equal">
      <formula>0</formula>
    </cfRule>
  </conditionalFormatting>
  <conditionalFormatting sqref="E34:F34">
    <cfRule type="cellIs" dxfId="30" priority="31" operator="equal">
      <formula>0</formula>
    </cfRule>
  </conditionalFormatting>
  <conditionalFormatting sqref="E36:F36">
    <cfRule type="cellIs" dxfId="29" priority="30" operator="equal">
      <formula>0</formula>
    </cfRule>
  </conditionalFormatting>
  <conditionalFormatting sqref="E38:F38">
    <cfRule type="cellIs" dxfId="28" priority="29" operator="equal">
      <formula>0</formula>
    </cfRule>
  </conditionalFormatting>
  <conditionalFormatting sqref="E40:F40">
    <cfRule type="cellIs" dxfId="27" priority="28" operator="equal">
      <formula>0</formula>
    </cfRule>
  </conditionalFormatting>
  <conditionalFormatting sqref="E42:F42">
    <cfRule type="cellIs" dxfId="26" priority="27" operator="equal">
      <formula>0</formula>
    </cfRule>
  </conditionalFormatting>
  <conditionalFormatting sqref="E44:F44">
    <cfRule type="cellIs" dxfId="25" priority="26" operator="equal">
      <formula>0</formula>
    </cfRule>
  </conditionalFormatting>
  <conditionalFormatting sqref="E46:F46">
    <cfRule type="cellIs" dxfId="24" priority="25" operator="equal">
      <formula>0</formula>
    </cfRule>
  </conditionalFormatting>
  <conditionalFormatting sqref="H15">
    <cfRule type="cellIs" dxfId="23" priority="24" operator="equal">
      <formula>"XXX"</formula>
    </cfRule>
  </conditionalFormatting>
  <conditionalFormatting sqref="E18:F18 E20:F20 E23:I23 E22:F22 E25:I25 E24:F24 E27:I27 E26:F26 E29:I29 E28:F28 E31:I31 E30:F30 E33:I33 E32:F32 E35:I35 E34:F34 E37:I37 E36:F36 E39:I39 E38:F38 E41:I41 E40:F40 E43:I43 E42:F42 E45:I45 E44:F44 E47:I47 E46:F46 E21:I21 E19:I19">
    <cfRule type="cellIs" dxfId="22" priority="23" operator="equal">
      <formula>"Lançar o valor mesmo que ZERO"</formula>
    </cfRule>
  </conditionalFormatting>
  <conditionalFormatting sqref="F7:H7">
    <cfRule type="cellIs" dxfId="21" priority="22" operator="equal">
      <formula>"Inserir n.º do boletim e se com ou sem desoneração"</formula>
    </cfRule>
  </conditionalFormatting>
  <conditionalFormatting sqref="J7">
    <cfRule type="cellIs" dxfId="20" priority="21" operator="equal">
      <formula>"Inserir data base do orçamento proposto"</formula>
    </cfRule>
  </conditionalFormatting>
  <conditionalFormatting sqref="C6">
    <cfRule type="cellIs" dxfId="19" priority="20" operator="equal">
      <formula>"Nome do Municipio"</formula>
    </cfRule>
  </conditionalFormatting>
  <conditionalFormatting sqref="C7">
    <cfRule type="cellIs" dxfId="18" priority="19" operator="equal">
      <formula>"Nome do Objeto aprovado no COC"</formula>
    </cfRule>
  </conditionalFormatting>
  <conditionalFormatting sqref="C8">
    <cfRule type="cellIs" dxfId="17" priority="18" operator="equal">
      <formula>"N.º do processo da Secretaria de Turismo"</formula>
    </cfRule>
  </conditionalFormatting>
  <conditionalFormatting sqref="E50:I50">
    <cfRule type="cellIs" dxfId="16" priority="17" operator="equal">
      <formula>"Lançar o valor da contrapartida, mesmo que ZERO"</formula>
    </cfRule>
  </conditionalFormatting>
  <conditionalFormatting sqref="B18:C47">
    <cfRule type="cellIs" dxfId="15" priority="16" operator="equal">
      <formula>"Descrição do Item"</formula>
    </cfRule>
  </conditionalFormatting>
  <conditionalFormatting sqref="J21">
    <cfRule type="cellIs" dxfId="14" priority="15" operator="equal">
      <formula>"Lançar valor para as duas etapas, mesmo que ZERO"</formula>
    </cfRule>
  </conditionalFormatting>
  <conditionalFormatting sqref="J23">
    <cfRule type="cellIs" dxfId="13" priority="14" operator="equal">
      <formula>"Lançar valor para as duas etapas, mesmo que ZERO"</formula>
    </cfRule>
  </conditionalFormatting>
  <conditionalFormatting sqref="J25">
    <cfRule type="cellIs" dxfId="12" priority="13" operator="equal">
      <formula>"Lançar valor para as duas etapas, mesmo que ZERO"</formula>
    </cfRule>
  </conditionalFormatting>
  <conditionalFormatting sqref="J27">
    <cfRule type="cellIs" dxfId="11" priority="12" operator="equal">
      <formula>"Lançar valor para as duas etapas, mesmo que ZERO"</formula>
    </cfRule>
  </conditionalFormatting>
  <conditionalFormatting sqref="J29">
    <cfRule type="cellIs" dxfId="10" priority="11" operator="equal">
      <formula>"Lançar valor para as duas etapas, mesmo que ZERO"</formula>
    </cfRule>
  </conditionalFormatting>
  <conditionalFormatting sqref="J31">
    <cfRule type="cellIs" dxfId="9" priority="10" operator="equal">
      <formula>"Lançar valor para as duas etapas, mesmo que ZERO"</formula>
    </cfRule>
  </conditionalFormatting>
  <conditionalFormatting sqref="J33">
    <cfRule type="cellIs" dxfId="8" priority="9" operator="equal">
      <formula>"Lançar valor para as duas etapas, mesmo que ZERO"</formula>
    </cfRule>
  </conditionalFormatting>
  <conditionalFormatting sqref="J35">
    <cfRule type="cellIs" dxfId="7" priority="8" operator="equal">
      <formula>"Lançar valor para as duas etapas, mesmo que ZERO"</formula>
    </cfRule>
  </conditionalFormatting>
  <conditionalFormatting sqref="J37">
    <cfRule type="cellIs" dxfId="6" priority="7" operator="equal">
      <formula>"Lançar valor para as duas etapas, mesmo que ZERO"</formula>
    </cfRule>
  </conditionalFormatting>
  <conditionalFormatting sqref="J39">
    <cfRule type="cellIs" dxfId="5" priority="6" operator="equal">
      <formula>"Lançar valor para as duas etapas, mesmo que ZERO"</formula>
    </cfRule>
  </conditionalFormatting>
  <conditionalFormatting sqref="J41">
    <cfRule type="cellIs" dxfId="4" priority="5" operator="equal">
      <formula>"Lançar valor para as duas etapas, mesmo que ZERO"</formula>
    </cfRule>
  </conditionalFormatting>
  <conditionalFormatting sqref="J43">
    <cfRule type="cellIs" dxfId="3" priority="4" operator="equal">
      <formula>"Lançar valor para as duas etapas, mesmo que ZERO"</formula>
    </cfRule>
  </conditionalFormatting>
  <conditionalFormatting sqref="J45">
    <cfRule type="cellIs" dxfId="2" priority="3" operator="equal">
      <formula>"Lançar valor para as duas etapas, mesmo que ZERO"</formula>
    </cfRule>
  </conditionalFormatting>
  <conditionalFormatting sqref="J47">
    <cfRule type="cellIs" dxfId="1" priority="2" operator="equal">
      <formula>"Lançar valor para as duas etapas, mesmo que ZERO"</formula>
    </cfRule>
  </conditionalFormatting>
  <conditionalFormatting sqref="J18:J47">
    <cfRule type="cellIs" dxfId="0" priority="1" operator="equal">
      <formula>0</formula>
    </cfRule>
  </conditionalFormatting>
  <printOptions horizontalCentered="1"/>
  <pageMargins left="0.62992125984251968" right="0.23622047244094491" top="0.74803149606299213" bottom="0.74803149606299213" header="0.31496062992125984" footer="0.31496062992125984"/>
  <pageSetup paperSize="9" scale="61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7EBE5-73A1-424B-B705-FF92740BF85E}">
  <dimension ref="C1:L445"/>
  <sheetViews>
    <sheetView showGridLines="0" zoomScale="85" zoomScaleNormal="85" zoomScaleSheetLayoutView="85" workbookViewId="0">
      <selection activeCell="I311" sqref="I311"/>
    </sheetView>
  </sheetViews>
  <sheetFormatPr defaultColWidth="8.85546875" defaultRowHeight="15" x14ac:dyDescent="0.2"/>
  <cols>
    <col min="1" max="2" width="8.85546875" style="4"/>
    <col min="3" max="3" width="12.42578125" style="4" customWidth="1"/>
    <col min="4" max="4" width="8.5703125" style="4" customWidth="1"/>
    <col min="5" max="5" width="13.42578125" style="4" customWidth="1"/>
    <col min="6" max="6" width="35.7109375" style="4" customWidth="1"/>
    <col min="7" max="7" width="10.28515625" style="4" bestFit="1" customWidth="1"/>
    <col min="8" max="8" width="17.42578125" style="3" bestFit="1" customWidth="1"/>
    <col min="9" max="10" width="8.85546875" style="4"/>
    <col min="11" max="11" width="17.28515625" style="4" bestFit="1" customWidth="1"/>
    <col min="12" max="12" width="107" style="4" bestFit="1" customWidth="1"/>
    <col min="13" max="16384" width="8.85546875" style="4"/>
  </cols>
  <sheetData>
    <row r="1" spans="3:12" s="53" customFormat="1" x14ac:dyDescent="0.2">
      <c r="H1" s="3"/>
    </row>
    <row r="2" spans="3:12" s="53" customFormat="1" x14ac:dyDescent="0.2">
      <c r="H2" s="3"/>
    </row>
    <row r="3" spans="3:12" s="53" customFormat="1" x14ac:dyDescent="0.2">
      <c r="H3" s="3"/>
    </row>
    <row r="4" spans="3:12" s="53" customFormat="1" x14ac:dyDescent="0.2">
      <c r="H4" s="3"/>
    </row>
    <row r="5" spans="3:12" s="53" customFormat="1" x14ac:dyDescent="0.2">
      <c r="H5" s="3"/>
    </row>
    <row r="6" spans="3:12" s="110" customFormat="1" x14ac:dyDescent="0.25">
      <c r="C6" s="245" t="s">
        <v>187</v>
      </c>
      <c r="D6" s="245"/>
      <c r="E6" s="245"/>
      <c r="F6" s="245"/>
      <c r="G6" s="245"/>
      <c r="H6" s="108"/>
      <c r="I6" s="108"/>
      <c r="J6" s="108"/>
      <c r="K6" s="108"/>
      <c r="L6" s="108"/>
    </row>
    <row r="7" spans="3:12" s="2" customFormat="1" ht="12.75" x14ac:dyDescent="0.2">
      <c r="C7" s="2" t="s">
        <v>165</v>
      </c>
    </row>
    <row r="8" spans="3:12" s="2" customFormat="1" ht="12.75" x14ac:dyDescent="0.2">
      <c r="C8" s="2" t="s">
        <v>166</v>
      </c>
    </row>
    <row r="9" spans="3:12" s="2" customFormat="1" ht="12.75" x14ac:dyDescent="0.2">
      <c r="C9" s="2" t="s">
        <v>167</v>
      </c>
    </row>
    <row r="10" spans="3:12" s="2" customFormat="1" ht="12.75" x14ac:dyDescent="0.2">
      <c r="C10" s="2" t="s">
        <v>168</v>
      </c>
      <c r="G10" s="106" t="s">
        <v>174</v>
      </c>
    </row>
    <row r="12" spans="3:12" s="53" customFormat="1" ht="15.75" x14ac:dyDescent="0.25">
      <c r="C12" s="101" t="s">
        <v>2</v>
      </c>
      <c r="D12" s="337" t="s">
        <v>53</v>
      </c>
      <c r="E12" s="338"/>
      <c r="F12" s="337" t="s">
        <v>54</v>
      </c>
      <c r="G12" s="338"/>
      <c r="H12" s="3"/>
    </row>
    <row r="13" spans="3:12" s="53" customFormat="1" ht="40.15" customHeight="1" x14ac:dyDescent="0.2">
      <c r="C13" s="5" t="s">
        <v>11</v>
      </c>
      <c r="D13" s="339" t="s">
        <v>12</v>
      </c>
      <c r="E13" s="340"/>
      <c r="F13" s="341" t="s">
        <v>13</v>
      </c>
      <c r="G13" s="342"/>
      <c r="H13" s="3"/>
    </row>
    <row r="14" spans="3:12" s="53" customFormat="1" x14ac:dyDescent="0.2">
      <c r="C14" s="54" t="s">
        <v>55</v>
      </c>
      <c r="D14" s="6"/>
      <c r="E14" s="6"/>
      <c r="F14" s="7"/>
      <c r="G14" s="8"/>
      <c r="H14" s="3"/>
    </row>
    <row r="15" spans="3:12" x14ac:dyDescent="0.2">
      <c r="C15" s="9" t="s">
        <v>56</v>
      </c>
      <c r="D15" s="119"/>
      <c r="E15" s="119"/>
      <c r="F15" s="120"/>
      <c r="G15" s="10"/>
    </row>
    <row r="16" spans="3:12" x14ac:dyDescent="0.2">
      <c r="C16" s="41" t="s">
        <v>134</v>
      </c>
      <c r="D16" s="43">
        <v>6</v>
      </c>
      <c r="E16" s="42" t="s">
        <v>84</v>
      </c>
      <c r="F16" s="11"/>
      <c r="G16" s="12"/>
    </row>
    <row r="17" spans="3:10" ht="15.75" x14ac:dyDescent="0.25">
      <c r="C17" s="100" t="s">
        <v>2</v>
      </c>
      <c r="D17" s="343" t="s">
        <v>53</v>
      </c>
      <c r="E17" s="343"/>
      <c r="F17" s="343" t="s">
        <v>54</v>
      </c>
      <c r="G17" s="343"/>
    </row>
    <row r="18" spans="3:10" ht="40.15" customHeight="1" x14ac:dyDescent="0.2">
      <c r="C18" s="5" t="s">
        <v>17</v>
      </c>
      <c r="D18" s="345">
        <v>7002001</v>
      </c>
      <c r="E18" s="345"/>
      <c r="F18" s="346" t="s">
        <v>19</v>
      </c>
      <c r="G18" s="346"/>
    </row>
    <row r="19" spans="3:10" x14ac:dyDescent="0.2">
      <c r="C19" s="13"/>
      <c r="D19" s="14"/>
      <c r="E19" s="15" t="s">
        <v>57</v>
      </c>
      <c r="F19" s="130">
        <f>G244</f>
        <v>1282.1999999999998</v>
      </c>
      <c r="G19" s="16" t="s">
        <v>58</v>
      </c>
    </row>
    <row r="20" spans="3:10" x14ac:dyDescent="0.2">
      <c r="C20" s="17"/>
      <c r="D20" s="121"/>
      <c r="E20" s="122" t="s">
        <v>59</v>
      </c>
      <c r="F20" s="131">
        <f>G297</f>
        <v>52.9</v>
      </c>
      <c r="G20" s="18" t="s">
        <v>58</v>
      </c>
    </row>
    <row r="21" spans="3:10" x14ac:dyDescent="0.2">
      <c r="C21" s="17"/>
      <c r="D21" s="121"/>
      <c r="E21" s="122" t="s">
        <v>60</v>
      </c>
      <c r="F21" s="131">
        <f>F19+F20</f>
        <v>1335.1</v>
      </c>
      <c r="G21" s="18" t="s">
        <v>58</v>
      </c>
    </row>
    <row r="22" spans="3:10" x14ac:dyDescent="0.2">
      <c r="C22" s="19"/>
      <c r="D22" s="119"/>
      <c r="E22" s="119"/>
      <c r="F22" s="123"/>
      <c r="G22" s="20"/>
    </row>
    <row r="23" spans="3:10" ht="15.75" x14ac:dyDescent="0.25">
      <c r="C23" s="101" t="s">
        <v>2</v>
      </c>
      <c r="D23" s="347" t="s">
        <v>53</v>
      </c>
      <c r="E23" s="347"/>
      <c r="F23" s="347" t="s">
        <v>54</v>
      </c>
      <c r="G23" s="347"/>
    </row>
    <row r="24" spans="3:10" ht="48" customHeight="1" x14ac:dyDescent="0.2">
      <c r="C24" s="21" t="s">
        <v>20</v>
      </c>
      <c r="D24" s="348">
        <v>7002014</v>
      </c>
      <c r="E24" s="348"/>
      <c r="F24" s="349" t="s">
        <v>61</v>
      </c>
      <c r="G24" s="349"/>
    </row>
    <row r="25" spans="3:10" x14ac:dyDescent="0.2">
      <c r="C25" s="344" t="s">
        <v>62</v>
      </c>
      <c r="D25" s="344"/>
      <c r="E25" s="344"/>
      <c r="F25" s="344"/>
      <c r="G25" s="344"/>
    </row>
    <row r="26" spans="3:10" s="53" customFormat="1" x14ac:dyDescent="0.2">
      <c r="C26" s="328" t="s">
        <v>63</v>
      </c>
      <c r="D26" s="329"/>
      <c r="E26" s="329"/>
      <c r="F26" s="329"/>
      <c r="G26" s="330"/>
      <c r="H26" s="3"/>
      <c r="J26" s="22"/>
    </row>
    <row r="27" spans="3:10" s="53" customFormat="1" ht="15.75" x14ac:dyDescent="0.25">
      <c r="C27" s="35" t="s">
        <v>154</v>
      </c>
      <c r="D27" s="66"/>
      <c r="E27" s="66"/>
      <c r="F27" s="104" t="s">
        <v>159</v>
      </c>
      <c r="G27" s="28">
        <f>16*3*0.3</f>
        <v>14.399999999999999</v>
      </c>
      <c r="H27" s="3"/>
    </row>
    <row r="28" spans="3:10" s="53" customFormat="1" x14ac:dyDescent="0.2">
      <c r="C28" s="35" t="s">
        <v>151</v>
      </c>
      <c r="D28" s="66"/>
      <c r="E28" s="66"/>
      <c r="F28" s="66"/>
      <c r="G28" s="65"/>
      <c r="H28" s="3"/>
    </row>
    <row r="29" spans="3:10" s="53" customFormat="1" x14ac:dyDescent="0.2">
      <c r="C29" s="36" t="s">
        <v>152</v>
      </c>
      <c r="D29" s="67"/>
      <c r="E29" s="67"/>
      <c r="F29" s="67"/>
      <c r="G29" s="68"/>
      <c r="H29" s="3"/>
    </row>
    <row r="30" spans="3:10" s="53" customFormat="1" x14ac:dyDescent="0.2">
      <c r="C30" s="54"/>
      <c r="D30" s="55"/>
      <c r="E30" s="26"/>
      <c r="F30" s="56" t="s">
        <v>161</v>
      </c>
      <c r="G30" s="27"/>
      <c r="H30" s="3"/>
    </row>
    <row r="31" spans="3:10" s="53" customFormat="1" x14ac:dyDescent="0.2">
      <c r="C31" s="335" t="s">
        <v>155</v>
      </c>
      <c r="D31" s="336"/>
      <c r="E31" s="69"/>
      <c r="F31" s="70">
        <v>8</v>
      </c>
      <c r="G31" s="28"/>
      <c r="H31" s="3"/>
    </row>
    <row r="32" spans="3:10" s="53" customFormat="1" x14ac:dyDescent="0.2">
      <c r="C32" s="335" t="s">
        <v>156</v>
      </c>
      <c r="D32" s="336"/>
      <c r="E32" s="69"/>
      <c r="F32" s="70">
        <f>F31*G27</f>
        <v>115.19999999999999</v>
      </c>
      <c r="G32" s="39"/>
      <c r="H32" s="3"/>
    </row>
    <row r="33" spans="3:12" s="53" customFormat="1" x14ac:dyDescent="0.2">
      <c r="C33" s="30" t="s">
        <v>157</v>
      </c>
      <c r="D33" s="31">
        <f>E32+F32</f>
        <v>115.19999999999999</v>
      </c>
      <c r="E33" s="32"/>
      <c r="F33" s="32"/>
      <c r="G33" s="33"/>
      <c r="H33" s="3"/>
    </row>
    <row r="34" spans="3:12" x14ac:dyDescent="0.2">
      <c r="C34" s="333" t="s">
        <v>67</v>
      </c>
      <c r="D34" s="333"/>
      <c r="E34" s="333"/>
      <c r="F34" s="333"/>
      <c r="G34" s="333"/>
      <c r="K34" s="24"/>
      <c r="L34" s="25"/>
    </row>
    <row r="35" spans="3:12" x14ac:dyDescent="0.2">
      <c r="C35" s="63" t="s">
        <v>150</v>
      </c>
      <c r="D35" s="64"/>
      <c r="E35" s="64"/>
      <c r="F35" s="105"/>
      <c r="G35" s="23"/>
      <c r="K35" s="24"/>
      <c r="L35" s="25"/>
    </row>
    <row r="36" spans="3:12" x14ac:dyDescent="0.2">
      <c r="C36" s="54" t="s">
        <v>69</v>
      </c>
      <c r="D36" s="55"/>
      <c r="E36" s="26">
        <v>41.85</v>
      </c>
      <c r="F36" s="55"/>
      <c r="G36" s="34"/>
      <c r="K36" s="24"/>
      <c r="L36" s="25"/>
    </row>
    <row r="37" spans="3:12" x14ac:dyDescent="0.2">
      <c r="C37" s="35" t="s">
        <v>66</v>
      </c>
      <c r="D37" s="69">
        <v>0.3</v>
      </c>
      <c r="E37" s="124"/>
      <c r="F37" s="124"/>
      <c r="G37" s="28"/>
      <c r="K37" s="24"/>
      <c r="L37" s="25"/>
    </row>
    <row r="38" spans="3:12" x14ac:dyDescent="0.2">
      <c r="C38" s="35" t="s">
        <v>70</v>
      </c>
      <c r="D38" s="69"/>
      <c r="E38" s="124"/>
      <c r="F38" s="124"/>
      <c r="G38" s="29"/>
      <c r="K38" s="24">
        <v>7002018</v>
      </c>
      <c r="L38" s="25" t="s">
        <v>65</v>
      </c>
    </row>
    <row r="39" spans="3:12" x14ac:dyDescent="0.2">
      <c r="C39" s="36" t="s">
        <v>60</v>
      </c>
      <c r="D39" s="37">
        <f>D37*E36</f>
        <v>12.555</v>
      </c>
      <c r="E39" s="32" t="s">
        <v>58</v>
      </c>
      <c r="F39" s="32"/>
      <c r="G39" s="33"/>
    </row>
    <row r="40" spans="3:12" x14ac:dyDescent="0.2">
      <c r="C40" s="333" t="s">
        <v>71</v>
      </c>
      <c r="D40" s="333"/>
      <c r="E40" s="333"/>
      <c r="F40" s="333"/>
      <c r="G40" s="333"/>
    </row>
    <row r="41" spans="3:12" x14ac:dyDescent="0.2">
      <c r="C41" s="331" t="s">
        <v>64</v>
      </c>
      <c r="D41" s="332"/>
      <c r="E41" s="332"/>
      <c r="F41" s="105"/>
      <c r="G41" s="23"/>
    </row>
    <row r="42" spans="3:12" x14ac:dyDescent="0.2">
      <c r="C42" s="54" t="s">
        <v>72</v>
      </c>
      <c r="D42" s="55"/>
      <c r="E42" s="26">
        <v>15</v>
      </c>
      <c r="F42" s="55"/>
      <c r="G42" s="34"/>
    </row>
    <row r="43" spans="3:12" x14ac:dyDescent="0.2">
      <c r="C43" s="35" t="s">
        <v>66</v>
      </c>
      <c r="D43" s="69">
        <v>0.1</v>
      </c>
      <c r="E43" s="124"/>
      <c r="F43" s="124" t="s">
        <v>73</v>
      </c>
      <c r="G43" s="28">
        <f>(E42*D43)</f>
        <v>1.5</v>
      </c>
    </row>
    <row r="44" spans="3:12" x14ac:dyDescent="0.2">
      <c r="C44" s="35" t="s">
        <v>70</v>
      </c>
      <c r="D44" s="69">
        <v>1</v>
      </c>
      <c r="E44" s="124"/>
      <c r="F44" s="124"/>
      <c r="G44" s="29"/>
    </row>
    <row r="45" spans="3:12" x14ac:dyDescent="0.2">
      <c r="C45" s="36" t="s">
        <v>60</v>
      </c>
      <c r="D45" s="37">
        <f>D44*G43</f>
        <v>1.5</v>
      </c>
      <c r="E45" s="32" t="s">
        <v>58</v>
      </c>
      <c r="F45" s="32"/>
      <c r="G45" s="33"/>
    </row>
    <row r="46" spans="3:12" x14ac:dyDescent="0.2">
      <c r="C46" s="333" t="s">
        <v>74</v>
      </c>
      <c r="D46" s="333"/>
      <c r="E46" s="333"/>
      <c r="F46" s="333"/>
      <c r="G46" s="333"/>
    </row>
    <row r="47" spans="3:12" x14ac:dyDescent="0.2">
      <c r="C47" s="63" t="s">
        <v>150</v>
      </c>
      <c r="D47" s="64"/>
      <c r="E47" s="64"/>
      <c r="F47" s="105"/>
      <c r="G47" s="23"/>
    </row>
    <row r="48" spans="3:12" x14ac:dyDescent="0.2">
      <c r="C48" s="54" t="s">
        <v>72</v>
      </c>
      <c r="D48" s="55"/>
      <c r="E48" s="26">
        <v>15</v>
      </c>
      <c r="F48" s="55"/>
      <c r="G48" s="34"/>
    </row>
    <row r="49" spans="3:10" x14ac:dyDescent="0.2">
      <c r="C49" s="35" t="s">
        <v>66</v>
      </c>
      <c r="D49" s="69">
        <v>0.1</v>
      </c>
      <c r="E49" s="124"/>
      <c r="F49" s="124" t="s">
        <v>73</v>
      </c>
      <c r="G49" s="28">
        <f>(E48*D49)*2</f>
        <v>3</v>
      </c>
    </row>
    <row r="50" spans="3:10" x14ac:dyDescent="0.2">
      <c r="C50" s="35" t="s">
        <v>70</v>
      </c>
      <c r="D50" s="69">
        <v>7</v>
      </c>
      <c r="E50" s="124"/>
      <c r="F50" s="124"/>
      <c r="G50" s="29"/>
    </row>
    <row r="51" spans="3:10" x14ac:dyDescent="0.2">
      <c r="C51" s="36" t="s">
        <v>60</v>
      </c>
      <c r="D51" s="37">
        <f>D50*G49</f>
        <v>21</v>
      </c>
      <c r="E51" s="32" t="s">
        <v>58</v>
      </c>
      <c r="F51" s="32"/>
      <c r="G51" s="33"/>
    </row>
    <row r="52" spans="3:10" x14ac:dyDescent="0.2">
      <c r="C52" s="334" t="s">
        <v>75</v>
      </c>
      <c r="D52" s="334"/>
      <c r="E52" s="334"/>
      <c r="F52" s="334"/>
      <c r="G52" s="334"/>
    </row>
    <row r="53" spans="3:10" s="53" customFormat="1" x14ac:dyDescent="0.2">
      <c r="C53" s="328" t="s">
        <v>63</v>
      </c>
      <c r="D53" s="329"/>
      <c r="E53" s="329"/>
      <c r="F53" s="329"/>
      <c r="G53" s="330"/>
      <c r="H53" s="3"/>
      <c r="J53" s="22"/>
    </row>
    <row r="54" spans="3:10" s="53" customFormat="1" ht="15.75" x14ac:dyDescent="0.25">
      <c r="C54" s="35" t="s">
        <v>153</v>
      </c>
      <c r="D54" s="66"/>
      <c r="E54" s="66"/>
      <c r="F54" s="104" t="s">
        <v>158</v>
      </c>
      <c r="G54" s="28">
        <f>12*3*0.3</f>
        <v>10.799999999999999</v>
      </c>
      <c r="H54" s="3"/>
      <c r="J54" s="22"/>
    </row>
    <row r="55" spans="3:10" s="53" customFormat="1" ht="15.75" x14ac:dyDescent="0.25">
      <c r="C55" s="35" t="s">
        <v>154</v>
      </c>
      <c r="D55" s="66"/>
      <c r="E55" s="66"/>
      <c r="F55" s="104" t="s">
        <v>159</v>
      </c>
      <c r="G55" s="28">
        <f>16*3*0.3</f>
        <v>14.399999999999999</v>
      </c>
      <c r="H55" s="3"/>
    </row>
    <row r="56" spans="3:10" s="53" customFormat="1" x14ac:dyDescent="0.2">
      <c r="C56" s="35" t="s">
        <v>151</v>
      </c>
      <c r="D56" s="66"/>
      <c r="E56" s="66"/>
      <c r="F56" s="66"/>
      <c r="G56" s="65"/>
      <c r="H56" s="3"/>
    </row>
    <row r="57" spans="3:10" s="53" customFormat="1" x14ac:dyDescent="0.2">
      <c r="C57" s="36" t="s">
        <v>152</v>
      </c>
      <c r="D57" s="67"/>
      <c r="E57" s="67"/>
      <c r="F57" s="67"/>
      <c r="G57" s="68"/>
      <c r="H57" s="3"/>
    </row>
    <row r="58" spans="3:10" s="53" customFormat="1" x14ac:dyDescent="0.2">
      <c r="C58" s="54"/>
      <c r="D58" s="55"/>
      <c r="E58" s="26" t="s">
        <v>160</v>
      </c>
      <c r="F58" s="56" t="s">
        <v>161</v>
      </c>
      <c r="G58" s="27"/>
      <c r="H58" s="3"/>
    </row>
    <row r="59" spans="3:10" s="53" customFormat="1" x14ac:dyDescent="0.2">
      <c r="C59" s="335" t="s">
        <v>155</v>
      </c>
      <c r="D59" s="336"/>
      <c r="E59" s="69">
        <v>1</v>
      </c>
      <c r="F59" s="70">
        <v>10</v>
      </c>
      <c r="G59" s="28"/>
      <c r="H59" s="3"/>
    </row>
    <row r="60" spans="3:10" s="53" customFormat="1" x14ac:dyDescent="0.2">
      <c r="C60" s="335" t="s">
        <v>156</v>
      </c>
      <c r="D60" s="336"/>
      <c r="E60" s="69">
        <f>E59*G54</f>
        <v>10.799999999999999</v>
      </c>
      <c r="F60" s="70">
        <f>F59*G55</f>
        <v>144</v>
      </c>
      <c r="G60" s="39"/>
      <c r="H60" s="3"/>
    </row>
    <row r="61" spans="3:10" s="53" customFormat="1" x14ac:dyDescent="0.2">
      <c r="C61" s="30" t="s">
        <v>157</v>
      </c>
      <c r="D61" s="31">
        <f>E60+F60</f>
        <v>154.80000000000001</v>
      </c>
      <c r="E61" s="32"/>
      <c r="F61" s="32"/>
      <c r="G61" s="33"/>
      <c r="H61" s="3"/>
    </row>
    <row r="62" spans="3:10" x14ac:dyDescent="0.2">
      <c r="C62" s="333" t="s">
        <v>67</v>
      </c>
      <c r="D62" s="333"/>
      <c r="E62" s="333"/>
      <c r="F62" s="333"/>
      <c r="G62" s="333"/>
    </row>
    <row r="63" spans="3:10" x14ac:dyDescent="0.2">
      <c r="C63" s="63" t="s">
        <v>150</v>
      </c>
      <c r="D63" s="64"/>
      <c r="E63" s="64"/>
      <c r="F63" s="105"/>
      <c r="G63" s="23"/>
    </row>
    <row r="64" spans="3:10" x14ac:dyDescent="0.2">
      <c r="C64" s="54" t="s">
        <v>69</v>
      </c>
      <c r="D64" s="55"/>
      <c r="E64" s="26">
        <v>59.45</v>
      </c>
      <c r="F64" s="55"/>
      <c r="G64" s="34"/>
    </row>
    <row r="65" spans="3:10" x14ac:dyDescent="0.2">
      <c r="C65" s="35" t="s">
        <v>66</v>
      </c>
      <c r="D65" s="69">
        <v>0.3</v>
      </c>
      <c r="E65" s="124"/>
      <c r="F65" s="124"/>
      <c r="G65" s="28"/>
    </row>
    <row r="66" spans="3:10" x14ac:dyDescent="0.2">
      <c r="C66" s="36" t="s">
        <v>60</v>
      </c>
      <c r="D66" s="37">
        <f>D65*E64</f>
        <v>17.835000000000001</v>
      </c>
      <c r="E66" s="32" t="s">
        <v>58</v>
      </c>
      <c r="F66" s="32"/>
      <c r="G66" s="33"/>
    </row>
    <row r="67" spans="3:10" x14ac:dyDescent="0.2">
      <c r="C67" s="333" t="s">
        <v>71</v>
      </c>
      <c r="D67" s="333"/>
      <c r="E67" s="333"/>
      <c r="F67" s="333"/>
      <c r="G67" s="333"/>
    </row>
    <row r="68" spans="3:10" x14ac:dyDescent="0.2">
      <c r="C68" s="63" t="s">
        <v>150</v>
      </c>
      <c r="D68" s="64"/>
      <c r="E68" s="64"/>
      <c r="F68" s="105"/>
      <c r="G68" s="23"/>
    </row>
    <row r="69" spans="3:10" x14ac:dyDescent="0.2">
      <c r="C69" s="54" t="s">
        <v>72</v>
      </c>
      <c r="D69" s="55"/>
      <c r="E69" s="26">
        <v>15</v>
      </c>
      <c r="F69" s="55"/>
      <c r="G69" s="34"/>
    </row>
    <row r="70" spans="3:10" x14ac:dyDescent="0.2">
      <c r="C70" s="35" t="s">
        <v>66</v>
      </c>
      <c r="D70" s="69">
        <v>0.1</v>
      </c>
      <c r="E70" s="124"/>
      <c r="F70" s="124" t="s">
        <v>73</v>
      </c>
      <c r="G70" s="28">
        <f>(E69*D70)</f>
        <v>1.5</v>
      </c>
    </row>
    <row r="71" spans="3:10" x14ac:dyDescent="0.2">
      <c r="C71" s="35" t="s">
        <v>70</v>
      </c>
      <c r="D71" s="69">
        <v>6</v>
      </c>
      <c r="E71" s="124"/>
      <c r="F71" s="124"/>
      <c r="G71" s="29"/>
    </row>
    <row r="72" spans="3:10" x14ac:dyDescent="0.2">
      <c r="C72" s="36" t="s">
        <v>60</v>
      </c>
      <c r="D72" s="37">
        <f>D71*G70</f>
        <v>9</v>
      </c>
      <c r="E72" s="32" t="s">
        <v>58</v>
      </c>
      <c r="F72" s="32"/>
      <c r="G72" s="33"/>
    </row>
    <row r="73" spans="3:10" x14ac:dyDescent="0.2">
      <c r="C73" s="333" t="s">
        <v>74</v>
      </c>
      <c r="D73" s="333"/>
      <c r="E73" s="333"/>
      <c r="F73" s="333"/>
      <c r="G73" s="333"/>
    </row>
    <row r="74" spans="3:10" x14ac:dyDescent="0.2">
      <c r="C74" s="63" t="s">
        <v>150</v>
      </c>
      <c r="D74" s="64"/>
      <c r="E74" s="64"/>
      <c r="F74" s="105"/>
      <c r="G74" s="23"/>
    </row>
    <row r="75" spans="3:10" x14ac:dyDescent="0.2">
      <c r="C75" s="54" t="s">
        <v>72</v>
      </c>
      <c r="D75" s="55"/>
      <c r="E75" s="26">
        <v>15</v>
      </c>
      <c r="F75" s="55"/>
      <c r="G75" s="34"/>
    </row>
    <row r="76" spans="3:10" x14ac:dyDescent="0.2">
      <c r="C76" s="35" t="s">
        <v>66</v>
      </c>
      <c r="D76" s="69">
        <v>0.1</v>
      </c>
      <c r="E76" s="124"/>
      <c r="F76" s="124" t="s">
        <v>73</v>
      </c>
      <c r="G76" s="28">
        <f>(E75*D76)*2</f>
        <v>3</v>
      </c>
    </row>
    <row r="77" spans="3:10" x14ac:dyDescent="0.2">
      <c r="C77" s="35" t="s">
        <v>70</v>
      </c>
      <c r="D77" s="69">
        <v>1</v>
      </c>
      <c r="E77" s="124"/>
      <c r="F77" s="124"/>
      <c r="G77" s="29"/>
    </row>
    <row r="78" spans="3:10" x14ac:dyDescent="0.2">
      <c r="C78" s="36" t="s">
        <v>60</v>
      </c>
      <c r="D78" s="37">
        <f>D77*G76</f>
        <v>3</v>
      </c>
      <c r="E78" s="32" t="s">
        <v>58</v>
      </c>
      <c r="F78" s="32"/>
      <c r="G78" s="33"/>
    </row>
    <row r="79" spans="3:10" x14ac:dyDescent="0.2">
      <c r="C79" s="334" t="s">
        <v>76</v>
      </c>
      <c r="D79" s="334"/>
      <c r="E79" s="334"/>
      <c r="F79" s="334"/>
      <c r="G79" s="334"/>
    </row>
    <row r="80" spans="3:10" s="53" customFormat="1" x14ac:dyDescent="0.2">
      <c r="C80" s="328" t="s">
        <v>63</v>
      </c>
      <c r="D80" s="329"/>
      <c r="E80" s="329"/>
      <c r="F80" s="329"/>
      <c r="G80" s="330"/>
      <c r="H80" s="3"/>
      <c r="J80" s="22"/>
    </row>
    <row r="81" spans="3:8" s="53" customFormat="1" ht="15.75" x14ac:dyDescent="0.25">
      <c r="C81" s="35" t="s">
        <v>154</v>
      </c>
      <c r="D81" s="66"/>
      <c r="E81" s="66"/>
      <c r="F81" s="104" t="s">
        <v>159</v>
      </c>
      <c r="G81" s="28">
        <f>16*3*0.3</f>
        <v>14.399999999999999</v>
      </c>
      <c r="H81" s="3"/>
    </row>
    <row r="82" spans="3:8" s="53" customFormat="1" x14ac:dyDescent="0.2">
      <c r="C82" s="35" t="s">
        <v>151</v>
      </c>
      <c r="D82" s="66"/>
      <c r="E82" s="66"/>
      <c r="F82" s="66"/>
      <c r="G82" s="65"/>
      <c r="H82" s="3"/>
    </row>
    <row r="83" spans="3:8" s="53" customFormat="1" x14ac:dyDescent="0.2">
      <c r="C83" s="36" t="s">
        <v>152</v>
      </c>
      <c r="D83" s="67"/>
      <c r="E83" s="67"/>
      <c r="F83" s="67"/>
      <c r="G83" s="68"/>
      <c r="H83" s="3"/>
    </row>
    <row r="84" spans="3:8" s="53" customFormat="1" x14ac:dyDescent="0.2">
      <c r="C84" s="54"/>
      <c r="D84" s="55"/>
      <c r="E84" s="26"/>
      <c r="F84" s="56" t="s">
        <v>161</v>
      </c>
      <c r="G84" s="27"/>
      <c r="H84" s="3"/>
    </row>
    <row r="85" spans="3:8" s="53" customFormat="1" x14ac:dyDescent="0.2">
      <c r="C85" s="335" t="s">
        <v>155</v>
      </c>
      <c r="D85" s="336"/>
      <c r="E85" s="69"/>
      <c r="F85" s="70">
        <v>8</v>
      </c>
      <c r="G85" s="28"/>
      <c r="H85" s="3"/>
    </row>
    <row r="86" spans="3:8" s="53" customFormat="1" x14ac:dyDescent="0.2">
      <c r="C86" s="335" t="s">
        <v>156</v>
      </c>
      <c r="D86" s="336"/>
      <c r="E86" s="69"/>
      <c r="F86" s="70">
        <f>F85*G81</f>
        <v>115.19999999999999</v>
      </c>
      <c r="G86" s="39"/>
      <c r="H86" s="3"/>
    </row>
    <row r="87" spans="3:8" s="53" customFormat="1" x14ac:dyDescent="0.2">
      <c r="C87" s="30" t="s">
        <v>157</v>
      </c>
      <c r="D87" s="31">
        <f>E86+F86</f>
        <v>115.19999999999999</v>
      </c>
      <c r="E87" s="32"/>
      <c r="F87" s="32"/>
      <c r="G87" s="33"/>
      <c r="H87" s="3"/>
    </row>
    <row r="88" spans="3:8" x14ac:dyDescent="0.2">
      <c r="C88" s="333" t="s">
        <v>67</v>
      </c>
      <c r="D88" s="333"/>
      <c r="E88" s="333"/>
      <c r="F88" s="333"/>
      <c r="G88" s="333"/>
    </row>
    <row r="89" spans="3:8" x14ac:dyDescent="0.2">
      <c r="C89" s="63" t="s">
        <v>150</v>
      </c>
      <c r="D89" s="64"/>
      <c r="E89" s="64"/>
      <c r="F89" s="105"/>
      <c r="G89" s="23"/>
    </row>
    <row r="90" spans="3:8" x14ac:dyDescent="0.2">
      <c r="C90" s="54" t="s">
        <v>69</v>
      </c>
      <c r="D90" s="55"/>
      <c r="E90" s="26">
        <v>32.549999999999997</v>
      </c>
      <c r="F90" s="55"/>
      <c r="G90" s="34"/>
    </row>
    <row r="91" spans="3:8" x14ac:dyDescent="0.2">
      <c r="C91" s="35" t="s">
        <v>66</v>
      </c>
      <c r="D91" s="69">
        <v>0.3</v>
      </c>
      <c r="E91" s="124"/>
      <c r="F91" s="124"/>
      <c r="G91" s="28"/>
    </row>
    <row r="92" spans="3:8" x14ac:dyDescent="0.2">
      <c r="C92" s="36" t="s">
        <v>60</v>
      </c>
      <c r="D92" s="37">
        <f>D91*E90</f>
        <v>9.7649999999999988</v>
      </c>
      <c r="E92" s="32" t="s">
        <v>58</v>
      </c>
      <c r="F92" s="32"/>
      <c r="G92" s="33"/>
    </row>
    <row r="93" spans="3:8" x14ac:dyDescent="0.2">
      <c r="C93" s="333" t="s">
        <v>71</v>
      </c>
      <c r="D93" s="333"/>
      <c r="E93" s="333"/>
      <c r="F93" s="333"/>
      <c r="G93" s="333"/>
    </row>
    <row r="94" spans="3:8" x14ac:dyDescent="0.2">
      <c r="C94" s="63" t="s">
        <v>150</v>
      </c>
      <c r="D94" s="64"/>
      <c r="E94" s="64"/>
      <c r="F94" s="105"/>
      <c r="G94" s="23"/>
    </row>
    <row r="95" spans="3:8" x14ac:dyDescent="0.2">
      <c r="C95" s="54" t="s">
        <v>72</v>
      </c>
      <c r="D95" s="55"/>
      <c r="E95" s="26">
        <v>15</v>
      </c>
      <c r="F95" s="55"/>
      <c r="G95" s="34"/>
    </row>
    <row r="96" spans="3:8" x14ac:dyDescent="0.2">
      <c r="C96" s="35" t="s">
        <v>66</v>
      </c>
      <c r="D96" s="69">
        <v>0.1</v>
      </c>
      <c r="E96" s="124"/>
      <c r="F96" s="124" t="s">
        <v>73</v>
      </c>
      <c r="G96" s="28">
        <f>(E95*D96)</f>
        <v>1.5</v>
      </c>
    </row>
    <row r="97" spans="3:10" x14ac:dyDescent="0.2">
      <c r="C97" s="35" t="s">
        <v>70</v>
      </c>
      <c r="D97" s="69">
        <v>0</v>
      </c>
      <c r="E97" s="124"/>
      <c r="F97" s="124"/>
      <c r="G97" s="29"/>
    </row>
    <row r="98" spans="3:10" x14ac:dyDescent="0.2">
      <c r="C98" s="36" t="s">
        <v>60</v>
      </c>
      <c r="D98" s="37">
        <f>D97*G96</f>
        <v>0</v>
      </c>
      <c r="E98" s="32" t="s">
        <v>58</v>
      </c>
      <c r="F98" s="32"/>
      <c r="G98" s="33"/>
    </row>
    <row r="99" spans="3:10" x14ac:dyDescent="0.2">
      <c r="C99" s="333" t="s">
        <v>74</v>
      </c>
      <c r="D99" s="333"/>
      <c r="E99" s="333"/>
      <c r="F99" s="333"/>
      <c r="G99" s="333"/>
    </row>
    <row r="100" spans="3:10" x14ac:dyDescent="0.2">
      <c r="C100" s="63" t="s">
        <v>150</v>
      </c>
      <c r="D100" s="64"/>
      <c r="E100" s="64"/>
      <c r="F100" s="105"/>
      <c r="G100" s="23"/>
    </row>
    <row r="101" spans="3:10" x14ac:dyDescent="0.2">
      <c r="C101" s="54" t="s">
        <v>72</v>
      </c>
      <c r="D101" s="55"/>
      <c r="E101" s="26">
        <v>15</v>
      </c>
      <c r="F101" s="55"/>
      <c r="G101" s="34"/>
    </row>
    <row r="102" spans="3:10" x14ac:dyDescent="0.2">
      <c r="C102" s="35" t="s">
        <v>66</v>
      </c>
      <c r="D102" s="69">
        <v>0.1</v>
      </c>
      <c r="E102" s="124"/>
      <c r="F102" s="124" t="s">
        <v>73</v>
      </c>
      <c r="G102" s="28">
        <f>(E101*D102)*2</f>
        <v>3</v>
      </c>
    </row>
    <row r="103" spans="3:10" x14ac:dyDescent="0.2">
      <c r="C103" s="35" t="s">
        <v>70</v>
      </c>
      <c r="D103" s="69">
        <v>7</v>
      </c>
      <c r="E103" s="124"/>
      <c r="F103" s="124"/>
      <c r="G103" s="29"/>
    </row>
    <row r="104" spans="3:10" x14ac:dyDescent="0.2">
      <c r="C104" s="36" t="s">
        <v>60</v>
      </c>
      <c r="D104" s="37">
        <f>D103*G102</f>
        <v>21</v>
      </c>
      <c r="E104" s="32" t="s">
        <v>58</v>
      </c>
      <c r="F104" s="32"/>
      <c r="G104" s="33"/>
    </row>
    <row r="105" spans="3:10" x14ac:dyDescent="0.2">
      <c r="C105" s="334" t="s">
        <v>77</v>
      </c>
      <c r="D105" s="334"/>
      <c r="E105" s="334"/>
      <c r="F105" s="334"/>
      <c r="G105" s="334"/>
    </row>
    <row r="106" spans="3:10" s="53" customFormat="1" x14ac:dyDescent="0.2">
      <c r="C106" s="328" t="s">
        <v>63</v>
      </c>
      <c r="D106" s="329"/>
      <c r="E106" s="329"/>
      <c r="F106" s="329"/>
      <c r="G106" s="330"/>
      <c r="H106" s="3"/>
      <c r="J106" s="22"/>
    </row>
    <row r="107" spans="3:10" s="53" customFormat="1" ht="15.75" x14ac:dyDescent="0.25">
      <c r="C107" s="35" t="s">
        <v>153</v>
      </c>
      <c r="D107" s="66"/>
      <c r="E107" s="66"/>
      <c r="F107" s="104" t="s">
        <v>158</v>
      </c>
      <c r="G107" s="28">
        <f>12*3*0.3</f>
        <v>10.799999999999999</v>
      </c>
      <c r="H107" s="3"/>
      <c r="J107" s="22"/>
    </row>
    <row r="108" spans="3:10" s="53" customFormat="1" ht="15.75" x14ac:dyDescent="0.25">
      <c r="C108" s="35" t="s">
        <v>154</v>
      </c>
      <c r="D108" s="66"/>
      <c r="E108" s="66"/>
      <c r="F108" s="104" t="s">
        <v>159</v>
      </c>
      <c r="G108" s="28">
        <f>16*3*0.3</f>
        <v>14.399999999999999</v>
      </c>
      <c r="H108" s="3"/>
    </row>
    <row r="109" spans="3:10" s="53" customFormat="1" x14ac:dyDescent="0.2">
      <c r="C109" s="35" t="s">
        <v>151</v>
      </c>
      <c r="D109" s="66"/>
      <c r="E109" s="66"/>
      <c r="F109" s="66"/>
      <c r="G109" s="65"/>
      <c r="H109" s="3"/>
    </row>
    <row r="110" spans="3:10" s="53" customFormat="1" x14ac:dyDescent="0.2">
      <c r="C110" s="36" t="s">
        <v>152</v>
      </c>
      <c r="D110" s="67"/>
      <c r="E110" s="67"/>
      <c r="F110" s="67"/>
      <c r="G110" s="68"/>
      <c r="H110" s="3"/>
    </row>
    <row r="111" spans="3:10" s="53" customFormat="1" x14ac:dyDescent="0.2">
      <c r="C111" s="54"/>
      <c r="D111" s="55"/>
      <c r="E111" s="26" t="s">
        <v>160</v>
      </c>
      <c r="F111" s="56" t="s">
        <v>161</v>
      </c>
      <c r="G111" s="27"/>
      <c r="H111" s="3"/>
    </row>
    <row r="112" spans="3:10" s="53" customFormat="1" x14ac:dyDescent="0.2">
      <c r="C112" s="335" t="s">
        <v>155</v>
      </c>
      <c r="D112" s="336"/>
      <c r="E112" s="69">
        <v>10</v>
      </c>
      <c r="F112" s="70">
        <v>3</v>
      </c>
      <c r="G112" s="28"/>
      <c r="H112" s="3"/>
    </row>
    <row r="113" spans="3:8" s="53" customFormat="1" x14ac:dyDescent="0.2">
      <c r="C113" s="335" t="s">
        <v>156</v>
      </c>
      <c r="D113" s="336"/>
      <c r="E113" s="69">
        <f>E112*G107</f>
        <v>107.99999999999999</v>
      </c>
      <c r="F113" s="70">
        <f>F112*G108</f>
        <v>43.199999999999996</v>
      </c>
      <c r="G113" s="39"/>
      <c r="H113" s="3"/>
    </row>
    <row r="114" spans="3:8" s="53" customFormat="1" x14ac:dyDescent="0.2">
      <c r="C114" s="30" t="s">
        <v>157</v>
      </c>
      <c r="D114" s="31">
        <f>E113+F113</f>
        <v>151.19999999999999</v>
      </c>
      <c r="E114" s="32"/>
      <c r="F114" s="32"/>
      <c r="G114" s="33"/>
      <c r="H114" s="3"/>
    </row>
    <row r="115" spans="3:8" x14ac:dyDescent="0.2">
      <c r="C115" s="333" t="s">
        <v>67</v>
      </c>
      <c r="D115" s="333"/>
      <c r="E115" s="333"/>
      <c r="F115" s="333"/>
      <c r="G115" s="333"/>
    </row>
    <row r="116" spans="3:8" x14ac:dyDescent="0.2">
      <c r="C116" s="63" t="s">
        <v>150</v>
      </c>
      <c r="D116" s="64"/>
      <c r="E116" s="64"/>
      <c r="F116" s="105"/>
      <c r="G116" s="23"/>
    </row>
    <row r="117" spans="3:8" x14ac:dyDescent="0.2">
      <c r="C117" s="54" t="s">
        <v>69</v>
      </c>
      <c r="D117" s="55"/>
      <c r="E117" s="26">
        <v>55.1</v>
      </c>
      <c r="F117" s="55"/>
      <c r="G117" s="34"/>
    </row>
    <row r="118" spans="3:8" x14ac:dyDescent="0.2">
      <c r="C118" s="35" t="s">
        <v>66</v>
      </c>
      <c r="D118" s="69">
        <v>0.3</v>
      </c>
      <c r="E118" s="124"/>
      <c r="F118" s="124"/>
      <c r="G118" s="28"/>
    </row>
    <row r="119" spans="3:8" x14ac:dyDescent="0.2">
      <c r="C119" s="36" t="s">
        <v>60</v>
      </c>
      <c r="D119" s="37">
        <f>D118*E117</f>
        <v>16.53</v>
      </c>
      <c r="E119" s="32" t="s">
        <v>58</v>
      </c>
      <c r="F119" s="32"/>
      <c r="G119" s="33"/>
    </row>
    <row r="120" spans="3:8" x14ac:dyDescent="0.2">
      <c r="C120" s="333" t="s">
        <v>71</v>
      </c>
      <c r="D120" s="333"/>
      <c r="E120" s="333"/>
      <c r="F120" s="333"/>
      <c r="G120" s="333"/>
    </row>
    <row r="121" spans="3:8" x14ac:dyDescent="0.2">
      <c r="C121" s="63" t="s">
        <v>150</v>
      </c>
      <c r="D121" s="64"/>
      <c r="E121" s="64"/>
      <c r="F121" s="105"/>
      <c r="G121" s="23"/>
    </row>
    <row r="122" spans="3:8" x14ac:dyDescent="0.2">
      <c r="C122" s="54" t="s">
        <v>72</v>
      </c>
      <c r="D122" s="55"/>
      <c r="E122" s="26">
        <v>15</v>
      </c>
      <c r="F122" s="55"/>
      <c r="G122" s="34"/>
    </row>
    <row r="123" spans="3:8" x14ac:dyDescent="0.2">
      <c r="C123" s="35" t="s">
        <v>66</v>
      </c>
      <c r="D123" s="69">
        <v>0.1</v>
      </c>
      <c r="E123" s="124"/>
      <c r="F123" s="124" t="s">
        <v>73</v>
      </c>
      <c r="G123" s="28">
        <f>(E122*D123)</f>
        <v>1.5</v>
      </c>
    </row>
    <row r="124" spans="3:8" x14ac:dyDescent="0.2">
      <c r="C124" s="35" t="s">
        <v>70</v>
      </c>
      <c r="D124" s="69">
        <v>6</v>
      </c>
      <c r="E124" s="124"/>
      <c r="F124" s="124"/>
      <c r="G124" s="29"/>
    </row>
    <row r="125" spans="3:8" x14ac:dyDescent="0.2">
      <c r="C125" s="36" t="s">
        <v>60</v>
      </c>
      <c r="D125" s="37">
        <f>D124*G123</f>
        <v>9</v>
      </c>
      <c r="E125" s="32" t="s">
        <v>58</v>
      </c>
      <c r="F125" s="32"/>
      <c r="G125" s="33"/>
    </row>
    <row r="126" spans="3:8" x14ac:dyDescent="0.2">
      <c r="C126" s="333" t="s">
        <v>74</v>
      </c>
      <c r="D126" s="333"/>
      <c r="E126" s="333"/>
      <c r="F126" s="333"/>
      <c r="G126" s="333"/>
    </row>
    <row r="127" spans="3:8" x14ac:dyDescent="0.2">
      <c r="C127" s="63" t="s">
        <v>150</v>
      </c>
      <c r="D127" s="64"/>
      <c r="E127" s="64"/>
      <c r="F127" s="105"/>
      <c r="G127" s="23"/>
    </row>
    <row r="128" spans="3:8" x14ac:dyDescent="0.2">
      <c r="C128" s="54" t="s">
        <v>72</v>
      </c>
      <c r="D128" s="55"/>
      <c r="E128" s="26">
        <v>15</v>
      </c>
      <c r="F128" s="55"/>
      <c r="G128" s="34"/>
    </row>
    <row r="129" spans="3:10" x14ac:dyDescent="0.2">
      <c r="C129" s="35" t="s">
        <v>66</v>
      </c>
      <c r="D129" s="69">
        <v>0.1</v>
      </c>
      <c r="E129" s="124"/>
      <c r="F129" s="124" t="s">
        <v>73</v>
      </c>
      <c r="G129" s="28">
        <f>(E128*D129)*2</f>
        <v>3</v>
      </c>
    </row>
    <row r="130" spans="3:10" x14ac:dyDescent="0.2">
      <c r="C130" s="35" t="s">
        <v>70</v>
      </c>
      <c r="D130" s="69">
        <v>2</v>
      </c>
      <c r="E130" s="124"/>
      <c r="F130" s="124"/>
      <c r="G130" s="29"/>
    </row>
    <row r="131" spans="3:10" x14ac:dyDescent="0.2">
      <c r="C131" s="36" t="s">
        <v>60</v>
      </c>
      <c r="D131" s="37">
        <f>D130*G129</f>
        <v>6</v>
      </c>
      <c r="E131" s="32" t="s">
        <v>58</v>
      </c>
      <c r="F131" s="32"/>
      <c r="G131" s="33"/>
    </row>
    <row r="132" spans="3:10" x14ac:dyDescent="0.2">
      <c r="C132" s="334" t="s">
        <v>78</v>
      </c>
      <c r="D132" s="334"/>
      <c r="E132" s="334"/>
      <c r="F132" s="334"/>
      <c r="G132" s="334"/>
    </row>
    <row r="133" spans="3:10" s="53" customFormat="1" x14ac:dyDescent="0.2">
      <c r="C133" s="328" t="s">
        <v>63</v>
      </c>
      <c r="D133" s="329"/>
      <c r="E133" s="329"/>
      <c r="F133" s="329"/>
      <c r="G133" s="330"/>
      <c r="H133" s="3"/>
      <c r="J133" s="22"/>
    </row>
    <row r="134" spans="3:10" s="53" customFormat="1" ht="15.75" x14ac:dyDescent="0.25">
      <c r="C134" s="35" t="s">
        <v>153</v>
      </c>
      <c r="D134" s="66"/>
      <c r="E134" s="66"/>
      <c r="F134" s="104" t="s">
        <v>158</v>
      </c>
      <c r="G134" s="28">
        <f>12*3*0.3</f>
        <v>10.799999999999999</v>
      </c>
      <c r="H134" s="3"/>
      <c r="J134" s="22"/>
    </row>
    <row r="135" spans="3:10" s="53" customFormat="1" ht="15.75" x14ac:dyDescent="0.25">
      <c r="C135" s="35" t="s">
        <v>154</v>
      </c>
      <c r="D135" s="66"/>
      <c r="E135" s="66"/>
      <c r="F135" s="104" t="s">
        <v>159</v>
      </c>
      <c r="G135" s="28">
        <f>16*3*0.3</f>
        <v>14.399999999999999</v>
      </c>
      <c r="H135" s="3"/>
    </row>
    <row r="136" spans="3:10" s="53" customFormat="1" x14ac:dyDescent="0.2">
      <c r="C136" s="35" t="s">
        <v>151</v>
      </c>
      <c r="D136" s="66"/>
      <c r="E136" s="66"/>
      <c r="F136" s="66"/>
      <c r="G136" s="65"/>
      <c r="H136" s="3"/>
    </row>
    <row r="137" spans="3:10" s="53" customFormat="1" x14ac:dyDescent="0.2">
      <c r="C137" s="36" t="s">
        <v>152</v>
      </c>
      <c r="D137" s="67"/>
      <c r="E137" s="67"/>
      <c r="F137" s="67"/>
      <c r="G137" s="68"/>
      <c r="H137" s="3"/>
    </row>
    <row r="138" spans="3:10" s="53" customFormat="1" x14ac:dyDescent="0.2">
      <c r="C138" s="54"/>
      <c r="D138" s="55"/>
      <c r="E138" s="26" t="s">
        <v>160</v>
      </c>
      <c r="F138" s="56" t="s">
        <v>161</v>
      </c>
      <c r="G138" s="27"/>
      <c r="H138" s="3"/>
    </row>
    <row r="139" spans="3:10" s="53" customFormat="1" x14ac:dyDescent="0.2">
      <c r="C139" s="335" t="s">
        <v>155</v>
      </c>
      <c r="D139" s="336"/>
      <c r="E139" s="69">
        <v>2</v>
      </c>
      <c r="F139" s="70">
        <v>10</v>
      </c>
      <c r="G139" s="28"/>
      <c r="H139" s="3"/>
    </row>
    <row r="140" spans="3:10" s="53" customFormat="1" x14ac:dyDescent="0.2">
      <c r="C140" s="335" t="s">
        <v>156</v>
      </c>
      <c r="D140" s="336"/>
      <c r="E140" s="69">
        <f>E139*G134</f>
        <v>21.599999999999998</v>
      </c>
      <c r="F140" s="70">
        <f>F139*G135</f>
        <v>144</v>
      </c>
      <c r="G140" s="39"/>
      <c r="H140" s="3"/>
    </row>
    <row r="141" spans="3:10" s="53" customFormat="1" x14ac:dyDescent="0.2">
      <c r="C141" s="30" t="s">
        <v>157</v>
      </c>
      <c r="D141" s="31">
        <f>E140+F140</f>
        <v>165.6</v>
      </c>
      <c r="E141" s="32"/>
      <c r="F141" s="32"/>
      <c r="G141" s="33"/>
      <c r="H141" s="3"/>
    </row>
    <row r="142" spans="3:10" x14ac:dyDescent="0.2">
      <c r="C142" s="333" t="s">
        <v>67</v>
      </c>
      <c r="D142" s="333"/>
      <c r="E142" s="333"/>
      <c r="F142" s="333"/>
      <c r="G142" s="333"/>
    </row>
    <row r="143" spans="3:10" x14ac:dyDescent="0.2">
      <c r="C143" s="63" t="s">
        <v>162</v>
      </c>
      <c r="D143" s="64"/>
      <c r="E143" s="64"/>
      <c r="F143" s="105"/>
      <c r="G143" s="23"/>
    </row>
    <row r="144" spans="3:10" x14ac:dyDescent="0.2">
      <c r="C144" s="54" t="s">
        <v>69</v>
      </c>
      <c r="D144" s="55"/>
      <c r="E144" s="26">
        <v>52.8</v>
      </c>
      <c r="F144" s="55"/>
      <c r="G144" s="34"/>
    </row>
    <row r="145" spans="3:10" x14ac:dyDescent="0.2">
      <c r="C145" s="35" t="s">
        <v>66</v>
      </c>
      <c r="D145" s="69">
        <v>0.3</v>
      </c>
      <c r="E145" s="124"/>
      <c r="F145" s="124"/>
      <c r="G145" s="28"/>
    </row>
    <row r="146" spans="3:10" x14ac:dyDescent="0.2">
      <c r="C146" s="36" t="s">
        <v>60</v>
      </c>
      <c r="D146" s="37">
        <f>D145*E144</f>
        <v>15.839999999999998</v>
      </c>
      <c r="E146" s="32" t="s">
        <v>58</v>
      </c>
      <c r="F146" s="32"/>
      <c r="G146" s="33"/>
    </row>
    <row r="147" spans="3:10" x14ac:dyDescent="0.2">
      <c r="C147" s="333" t="s">
        <v>71</v>
      </c>
      <c r="D147" s="333"/>
      <c r="E147" s="333"/>
      <c r="F147" s="333"/>
      <c r="G147" s="333"/>
    </row>
    <row r="148" spans="3:10" x14ac:dyDescent="0.2">
      <c r="C148" s="63" t="s">
        <v>162</v>
      </c>
      <c r="D148" s="64"/>
      <c r="E148" s="64"/>
      <c r="F148" s="105"/>
      <c r="G148" s="23"/>
    </row>
    <row r="149" spans="3:10" x14ac:dyDescent="0.2">
      <c r="C149" s="54" t="s">
        <v>72</v>
      </c>
      <c r="D149" s="55"/>
      <c r="E149" s="26">
        <v>15</v>
      </c>
      <c r="F149" s="55"/>
      <c r="G149" s="34"/>
    </row>
    <row r="150" spans="3:10" x14ac:dyDescent="0.2">
      <c r="C150" s="35" t="s">
        <v>66</v>
      </c>
      <c r="D150" s="69">
        <v>0.1</v>
      </c>
      <c r="E150" s="124"/>
      <c r="F150" s="124" t="s">
        <v>73</v>
      </c>
      <c r="G150" s="28">
        <f>(E149*D150)</f>
        <v>1.5</v>
      </c>
    </row>
    <row r="151" spans="3:10" x14ac:dyDescent="0.2">
      <c r="C151" s="35" t="s">
        <v>70</v>
      </c>
      <c r="D151" s="69">
        <v>0</v>
      </c>
      <c r="E151" s="124"/>
      <c r="F151" s="124"/>
      <c r="G151" s="29"/>
    </row>
    <row r="152" spans="3:10" x14ac:dyDescent="0.2">
      <c r="C152" s="36" t="s">
        <v>60</v>
      </c>
      <c r="D152" s="37">
        <f>D151*G150</f>
        <v>0</v>
      </c>
      <c r="E152" s="32" t="s">
        <v>58</v>
      </c>
      <c r="F152" s="32"/>
      <c r="G152" s="33"/>
    </row>
    <row r="153" spans="3:10" x14ac:dyDescent="0.2">
      <c r="C153" s="333" t="s">
        <v>74</v>
      </c>
      <c r="D153" s="333"/>
      <c r="E153" s="333"/>
      <c r="F153" s="333"/>
      <c r="G153" s="333"/>
    </row>
    <row r="154" spans="3:10" x14ac:dyDescent="0.2">
      <c r="C154" s="63" t="s">
        <v>162</v>
      </c>
      <c r="D154" s="64"/>
      <c r="E154" s="64"/>
      <c r="F154" s="105"/>
      <c r="G154" s="23"/>
    </row>
    <row r="155" spans="3:10" x14ac:dyDescent="0.2">
      <c r="C155" s="54" t="s">
        <v>72</v>
      </c>
      <c r="D155" s="55"/>
      <c r="E155" s="26">
        <v>15</v>
      </c>
      <c r="F155" s="55"/>
      <c r="G155" s="34"/>
    </row>
    <row r="156" spans="3:10" x14ac:dyDescent="0.2">
      <c r="C156" s="35" t="s">
        <v>66</v>
      </c>
      <c r="D156" s="69">
        <v>0.1</v>
      </c>
      <c r="E156" s="124"/>
      <c r="F156" s="124" t="s">
        <v>73</v>
      </c>
      <c r="G156" s="28">
        <f>(E155*D156)*2</f>
        <v>3</v>
      </c>
    </row>
    <row r="157" spans="3:10" x14ac:dyDescent="0.2">
      <c r="C157" s="35" t="s">
        <v>70</v>
      </c>
      <c r="D157" s="69">
        <v>12</v>
      </c>
      <c r="E157" s="124"/>
      <c r="F157" s="124"/>
      <c r="G157" s="29"/>
    </row>
    <row r="158" spans="3:10" x14ac:dyDescent="0.2">
      <c r="C158" s="36" t="s">
        <v>60</v>
      </c>
      <c r="D158" s="37">
        <f>D157*G156</f>
        <v>36</v>
      </c>
      <c r="E158" s="32" t="s">
        <v>58</v>
      </c>
      <c r="F158" s="32"/>
      <c r="G158" s="33"/>
    </row>
    <row r="159" spans="3:10" x14ac:dyDescent="0.2">
      <c r="C159" s="334" t="s">
        <v>79</v>
      </c>
      <c r="D159" s="334"/>
      <c r="E159" s="334"/>
      <c r="F159" s="334"/>
      <c r="G159" s="334"/>
    </row>
    <row r="160" spans="3:10" s="53" customFormat="1" x14ac:dyDescent="0.2">
      <c r="C160" s="328" t="s">
        <v>63</v>
      </c>
      <c r="D160" s="329"/>
      <c r="E160" s="329"/>
      <c r="F160" s="329"/>
      <c r="G160" s="330"/>
      <c r="H160" s="3"/>
      <c r="J160" s="22"/>
    </row>
    <row r="161" spans="3:10" s="53" customFormat="1" ht="15.75" x14ac:dyDescent="0.25">
      <c r="C161" s="35" t="s">
        <v>153</v>
      </c>
      <c r="D161" s="66"/>
      <c r="E161" s="66"/>
      <c r="F161" s="104" t="s">
        <v>158</v>
      </c>
      <c r="G161" s="28">
        <f>12*3*0.3</f>
        <v>10.799999999999999</v>
      </c>
      <c r="H161" s="3"/>
      <c r="J161" s="22"/>
    </row>
    <row r="162" spans="3:10" s="53" customFormat="1" ht="15.75" x14ac:dyDescent="0.25">
      <c r="C162" s="35" t="s">
        <v>154</v>
      </c>
      <c r="D162" s="66"/>
      <c r="E162" s="66"/>
      <c r="F162" s="104" t="s">
        <v>159</v>
      </c>
      <c r="G162" s="28">
        <f>16*3*0.3</f>
        <v>14.399999999999999</v>
      </c>
      <c r="H162" s="3"/>
    </row>
    <row r="163" spans="3:10" s="53" customFormat="1" x14ac:dyDescent="0.2">
      <c r="C163" s="35" t="s">
        <v>151</v>
      </c>
      <c r="D163" s="66"/>
      <c r="E163" s="66"/>
      <c r="F163" s="66"/>
      <c r="G163" s="65"/>
      <c r="H163" s="3"/>
    </row>
    <row r="164" spans="3:10" s="53" customFormat="1" x14ac:dyDescent="0.2">
      <c r="C164" s="36" t="s">
        <v>152</v>
      </c>
      <c r="D164" s="67"/>
      <c r="E164" s="67"/>
      <c r="F164" s="67"/>
      <c r="G164" s="68"/>
      <c r="H164" s="3"/>
    </row>
    <row r="165" spans="3:10" s="53" customFormat="1" x14ac:dyDescent="0.2">
      <c r="C165" s="54"/>
      <c r="D165" s="55"/>
      <c r="E165" s="26" t="s">
        <v>160</v>
      </c>
      <c r="F165" s="56" t="s">
        <v>161</v>
      </c>
      <c r="G165" s="27"/>
      <c r="H165" s="3"/>
    </row>
    <row r="166" spans="3:10" s="53" customFormat="1" x14ac:dyDescent="0.2">
      <c r="C166" s="335" t="s">
        <v>155</v>
      </c>
      <c r="D166" s="336"/>
      <c r="E166" s="69">
        <v>1</v>
      </c>
      <c r="F166" s="70">
        <v>11</v>
      </c>
      <c r="G166" s="28"/>
      <c r="H166" s="3"/>
    </row>
    <row r="167" spans="3:10" s="53" customFormat="1" x14ac:dyDescent="0.2">
      <c r="C167" s="335" t="s">
        <v>156</v>
      </c>
      <c r="D167" s="336"/>
      <c r="E167" s="69">
        <f>E166*G161</f>
        <v>10.799999999999999</v>
      </c>
      <c r="F167" s="70">
        <f>F166*G162</f>
        <v>158.39999999999998</v>
      </c>
      <c r="G167" s="39"/>
      <c r="H167" s="3"/>
    </row>
    <row r="168" spans="3:10" s="53" customFormat="1" x14ac:dyDescent="0.2">
      <c r="C168" s="30" t="s">
        <v>157</v>
      </c>
      <c r="D168" s="31">
        <f>E167+F167</f>
        <v>169.2</v>
      </c>
      <c r="E168" s="32"/>
      <c r="F168" s="32"/>
      <c r="G168" s="33"/>
      <c r="H168" s="3"/>
    </row>
    <row r="169" spans="3:10" x14ac:dyDescent="0.2">
      <c r="C169" s="333" t="s">
        <v>67</v>
      </c>
      <c r="D169" s="333"/>
      <c r="E169" s="333"/>
      <c r="F169" s="333"/>
      <c r="G169" s="333"/>
    </row>
    <row r="170" spans="3:10" x14ac:dyDescent="0.2">
      <c r="C170" s="63" t="s">
        <v>162</v>
      </c>
      <c r="D170" s="64"/>
      <c r="E170" s="64"/>
      <c r="F170" s="105"/>
      <c r="G170" s="23"/>
    </row>
    <row r="171" spans="3:10" x14ac:dyDescent="0.2">
      <c r="C171" s="54" t="s">
        <v>69</v>
      </c>
      <c r="D171" s="55"/>
      <c r="E171" s="26">
        <v>59.45</v>
      </c>
      <c r="F171" s="55"/>
      <c r="G171" s="34"/>
    </row>
    <row r="172" spans="3:10" x14ac:dyDescent="0.2">
      <c r="C172" s="35" t="s">
        <v>66</v>
      </c>
      <c r="D172" s="69">
        <v>0.3</v>
      </c>
      <c r="E172" s="124"/>
      <c r="F172" s="124"/>
      <c r="G172" s="28"/>
    </row>
    <row r="173" spans="3:10" x14ac:dyDescent="0.2">
      <c r="C173" s="36" t="s">
        <v>60</v>
      </c>
      <c r="D173" s="37">
        <f>D172*E171</f>
        <v>17.835000000000001</v>
      </c>
      <c r="E173" s="32" t="s">
        <v>58</v>
      </c>
      <c r="F173" s="32"/>
      <c r="G173" s="33"/>
    </row>
    <row r="174" spans="3:10" x14ac:dyDescent="0.2">
      <c r="C174" s="333" t="s">
        <v>71</v>
      </c>
      <c r="D174" s="333"/>
      <c r="E174" s="333"/>
      <c r="F174" s="333"/>
      <c r="G174" s="333"/>
    </row>
    <row r="175" spans="3:10" x14ac:dyDescent="0.2">
      <c r="C175" s="63" t="s">
        <v>162</v>
      </c>
      <c r="D175" s="64"/>
      <c r="E175" s="64"/>
      <c r="F175" s="105"/>
      <c r="G175" s="23"/>
    </row>
    <row r="176" spans="3:10" x14ac:dyDescent="0.2">
      <c r="C176" s="54" t="s">
        <v>72</v>
      </c>
      <c r="D176" s="55"/>
      <c r="E176" s="26">
        <v>15</v>
      </c>
      <c r="F176" s="55"/>
      <c r="G176" s="34"/>
    </row>
    <row r="177" spans="3:10" x14ac:dyDescent="0.2">
      <c r="C177" s="35" t="s">
        <v>66</v>
      </c>
      <c r="D177" s="69">
        <v>0.1</v>
      </c>
      <c r="E177" s="124"/>
      <c r="F177" s="124" t="s">
        <v>73</v>
      </c>
      <c r="G177" s="28">
        <f>(E176*D177)</f>
        <v>1.5</v>
      </c>
    </row>
    <row r="178" spans="3:10" x14ac:dyDescent="0.2">
      <c r="C178" s="35" t="s">
        <v>70</v>
      </c>
      <c r="D178" s="69">
        <v>6</v>
      </c>
      <c r="E178" s="124"/>
      <c r="F178" s="124"/>
      <c r="G178" s="29"/>
    </row>
    <row r="179" spans="3:10" x14ac:dyDescent="0.2">
      <c r="C179" s="36" t="s">
        <v>60</v>
      </c>
      <c r="D179" s="37">
        <f>D178*G177</f>
        <v>9</v>
      </c>
      <c r="E179" s="32" t="s">
        <v>58</v>
      </c>
      <c r="F179" s="32"/>
      <c r="G179" s="33"/>
    </row>
    <row r="180" spans="3:10" x14ac:dyDescent="0.2">
      <c r="C180" s="333" t="s">
        <v>74</v>
      </c>
      <c r="D180" s="333"/>
      <c r="E180" s="333"/>
      <c r="F180" s="333"/>
      <c r="G180" s="333"/>
    </row>
    <row r="181" spans="3:10" x14ac:dyDescent="0.2">
      <c r="C181" s="63" t="s">
        <v>162</v>
      </c>
      <c r="D181" s="64"/>
      <c r="E181" s="64"/>
      <c r="F181" s="105"/>
      <c r="G181" s="23"/>
    </row>
    <row r="182" spans="3:10" x14ac:dyDescent="0.2">
      <c r="C182" s="54" t="s">
        <v>72</v>
      </c>
      <c r="D182" s="55"/>
      <c r="E182" s="26">
        <v>15</v>
      </c>
      <c r="F182" s="55"/>
      <c r="G182" s="34"/>
    </row>
    <row r="183" spans="3:10" x14ac:dyDescent="0.2">
      <c r="C183" s="35" t="s">
        <v>66</v>
      </c>
      <c r="D183" s="69">
        <v>0.1</v>
      </c>
      <c r="E183" s="124"/>
      <c r="F183" s="124" t="s">
        <v>73</v>
      </c>
      <c r="G183" s="28">
        <f>(E182*D183)*2</f>
        <v>3</v>
      </c>
    </row>
    <row r="184" spans="3:10" x14ac:dyDescent="0.2">
      <c r="C184" s="35" t="s">
        <v>70</v>
      </c>
      <c r="D184" s="69">
        <v>1</v>
      </c>
      <c r="E184" s="124"/>
      <c r="F184" s="124"/>
      <c r="G184" s="29"/>
    </row>
    <row r="185" spans="3:10" x14ac:dyDescent="0.2">
      <c r="C185" s="36" t="s">
        <v>60</v>
      </c>
      <c r="D185" s="37">
        <f>D184*G183</f>
        <v>3</v>
      </c>
      <c r="E185" s="32" t="s">
        <v>58</v>
      </c>
      <c r="F185" s="32"/>
      <c r="G185" s="33"/>
    </row>
    <row r="186" spans="3:10" x14ac:dyDescent="0.2">
      <c r="C186" s="334" t="s">
        <v>80</v>
      </c>
      <c r="D186" s="334"/>
      <c r="E186" s="334"/>
      <c r="F186" s="334"/>
      <c r="G186" s="334"/>
    </row>
    <row r="187" spans="3:10" s="53" customFormat="1" x14ac:dyDescent="0.2">
      <c r="C187" s="328" t="s">
        <v>63</v>
      </c>
      <c r="D187" s="329"/>
      <c r="E187" s="329"/>
      <c r="F187" s="329"/>
      <c r="G187" s="330"/>
      <c r="H187" s="3"/>
      <c r="J187" s="22"/>
    </row>
    <row r="188" spans="3:10" s="53" customFormat="1" ht="15.75" x14ac:dyDescent="0.25">
      <c r="C188" s="35" t="s">
        <v>154</v>
      </c>
      <c r="D188" s="66"/>
      <c r="E188" s="66"/>
      <c r="F188" s="104" t="s">
        <v>159</v>
      </c>
      <c r="G188" s="28">
        <f>16*3*0.3</f>
        <v>14.399999999999999</v>
      </c>
      <c r="H188" s="3"/>
    </row>
    <row r="189" spans="3:10" s="53" customFormat="1" x14ac:dyDescent="0.2">
      <c r="C189" s="35" t="s">
        <v>151</v>
      </c>
      <c r="D189" s="66"/>
      <c r="E189" s="66"/>
      <c r="F189" s="66"/>
      <c r="G189" s="65"/>
      <c r="H189" s="3"/>
    </row>
    <row r="190" spans="3:10" s="53" customFormat="1" x14ac:dyDescent="0.2">
      <c r="C190" s="36" t="s">
        <v>152</v>
      </c>
      <c r="D190" s="67"/>
      <c r="E190" s="67"/>
      <c r="F190" s="67"/>
      <c r="G190" s="68"/>
      <c r="H190" s="3"/>
    </row>
    <row r="191" spans="3:10" s="53" customFormat="1" x14ac:dyDescent="0.2">
      <c r="C191" s="54"/>
      <c r="D191" s="55"/>
      <c r="E191" s="26"/>
      <c r="F191" s="56" t="s">
        <v>161</v>
      </c>
      <c r="G191" s="27"/>
      <c r="H191" s="3"/>
    </row>
    <row r="192" spans="3:10" s="53" customFormat="1" x14ac:dyDescent="0.2">
      <c r="C192" s="335" t="s">
        <v>155</v>
      </c>
      <c r="D192" s="336"/>
      <c r="E192" s="69"/>
      <c r="F192" s="70">
        <v>8</v>
      </c>
      <c r="G192" s="28"/>
      <c r="H192" s="3"/>
    </row>
    <row r="193" spans="3:8" s="53" customFormat="1" x14ac:dyDescent="0.2">
      <c r="C193" s="335" t="s">
        <v>156</v>
      </c>
      <c r="D193" s="336"/>
      <c r="E193" s="69"/>
      <c r="F193" s="70">
        <f>F192*G188</f>
        <v>115.19999999999999</v>
      </c>
      <c r="G193" s="39"/>
      <c r="H193" s="3"/>
    </row>
    <row r="194" spans="3:8" s="53" customFormat="1" x14ac:dyDescent="0.2">
      <c r="C194" s="30" t="s">
        <v>157</v>
      </c>
      <c r="D194" s="31">
        <f>E193+F193</f>
        <v>115.19999999999999</v>
      </c>
      <c r="E194" s="32"/>
      <c r="F194" s="32"/>
      <c r="G194" s="33"/>
      <c r="H194" s="3"/>
    </row>
    <row r="195" spans="3:8" x14ac:dyDescent="0.2">
      <c r="C195" s="333" t="s">
        <v>67</v>
      </c>
      <c r="D195" s="333"/>
      <c r="E195" s="333"/>
      <c r="F195" s="333"/>
      <c r="G195" s="333"/>
    </row>
    <row r="196" spans="3:8" x14ac:dyDescent="0.2">
      <c r="C196" s="63" t="s">
        <v>162</v>
      </c>
      <c r="D196" s="64"/>
      <c r="E196" s="64"/>
      <c r="F196" s="105"/>
      <c r="G196" s="23"/>
    </row>
    <row r="197" spans="3:8" x14ac:dyDescent="0.2">
      <c r="C197" s="54" t="s">
        <v>69</v>
      </c>
      <c r="D197" s="55"/>
      <c r="E197" s="26">
        <v>41.85</v>
      </c>
      <c r="F197" s="55"/>
      <c r="G197" s="34"/>
    </row>
    <row r="198" spans="3:8" x14ac:dyDescent="0.2">
      <c r="C198" s="35" t="s">
        <v>66</v>
      </c>
      <c r="D198" s="69">
        <v>0.3</v>
      </c>
      <c r="E198" s="124"/>
      <c r="F198" s="124"/>
      <c r="G198" s="28"/>
    </row>
    <row r="199" spans="3:8" x14ac:dyDescent="0.2">
      <c r="C199" s="36" t="s">
        <v>60</v>
      </c>
      <c r="D199" s="37">
        <f>D198*E197</f>
        <v>12.555</v>
      </c>
      <c r="E199" s="32" t="s">
        <v>58</v>
      </c>
      <c r="F199" s="32"/>
      <c r="G199" s="33"/>
    </row>
    <row r="200" spans="3:8" x14ac:dyDescent="0.2">
      <c r="C200" s="333" t="s">
        <v>71</v>
      </c>
      <c r="D200" s="333"/>
      <c r="E200" s="333"/>
      <c r="F200" s="333"/>
      <c r="G200" s="333"/>
    </row>
    <row r="201" spans="3:8" x14ac:dyDescent="0.2">
      <c r="C201" s="63" t="s">
        <v>162</v>
      </c>
      <c r="D201" s="64"/>
      <c r="E201" s="64"/>
      <c r="F201" s="105"/>
      <c r="G201" s="23"/>
    </row>
    <row r="202" spans="3:8" x14ac:dyDescent="0.2">
      <c r="C202" s="54" t="s">
        <v>72</v>
      </c>
      <c r="D202" s="55"/>
      <c r="E202" s="26">
        <v>15</v>
      </c>
      <c r="F202" s="55"/>
      <c r="G202" s="34"/>
    </row>
    <row r="203" spans="3:8" x14ac:dyDescent="0.2">
      <c r="C203" s="35" t="s">
        <v>66</v>
      </c>
      <c r="D203" s="69">
        <v>0.1</v>
      </c>
      <c r="E203" s="124"/>
      <c r="F203" s="124" t="s">
        <v>73</v>
      </c>
      <c r="G203" s="28">
        <f>(E202*D203)</f>
        <v>1.5</v>
      </c>
    </row>
    <row r="204" spans="3:8" x14ac:dyDescent="0.2">
      <c r="C204" s="35" t="s">
        <v>70</v>
      </c>
      <c r="D204" s="69">
        <v>1</v>
      </c>
      <c r="E204" s="124"/>
      <c r="F204" s="124"/>
      <c r="G204" s="29"/>
    </row>
    <row r="205" spans="3:8" x14ac:dyDescent="0.2">
      <c r="C205" s="36" t="s">
        <v>60</v>
      </c>
      <c r="D205" s="37">
        <f>D204*G203</f>
        <v>1.5</v>
      </c>
      <c r="E205" s="32" t="s">
        <v>58</v>
      </c>
      <c r="F205" s="32"/>
      <c r="G205" s="33"/>
    </row>
    <row r="206" spans="3:8" x14ac:dyDescent="0.2">
      <c r="C206" s="333" t="s">
        <v>74</v>
      </c>
      <c r="D206" s="333"/>
      <c r="E206" s="333"/>
      <c r="F206" s="333"/>
      <c r="G206" s="333"/>
    </row>
    <row r="207" spans="3:8" x14ac:dyDescent="0.2">
      <c r="C207" s="63" t="s">
        <v>162</v>
      </c>
      <c r="D207" s="64"/>
      <c r="E207" s="64"/>
      <c r="F207" s="105"/>
      <c r="G207" s="23"/>
    </row>
    <row r="208" spans="3:8" x14ac:dyDescent="0.2">
      <c r="C208" s="54" t="s">
        <v>72</v>
      </c>
      <c r="D208" s="55"/>
      <c r="E208" s="26">
        <v>15</v>
      </c>
      <c r="F208" s="55"/>
      <c r="G208" s="34"/>
    </row>
    <row r="209" spans="3:10" x14ac:dyDescent="0.2">
      <c r="C209" s="35" t="s">
        <v>66</v>
      </c>
      <c r="D209" s="69">
        <v>0.1</v>
      </c>
      <c r="E209" s="124"/>
      <c r="F209" s="124" t="s">
        <v>73</v>
      </c>
      <c r="G209" s="28">
        <f>(E208*D209)*2</f>
        <v>3</v>
      </c>
    </row>
    <row r="210" spans="3:10" x14ac:dyDescent="0.2">
      <c r="C210" s="35" t="s">
        <v>70</v>
      </c>
      <c r="D210" s="69">
        <v>7</v>
      </c>
      <c r="E210" s="124"/>
      <c r="F210" s="124"/>
      <c r="G210" s="29"/>
    </row>
    <row r="211" spans="3:10" x14ac:dyDescent="0.2">
      <c r="C211" s="36" t="s">
        <v>60</v>
      </c>
      <c r="D211" s="37">
        <f>D210*G209</f>
        <v>21</v>
      </c>
      <c r="E211" s="32" t="s">
        <v>58</v>
      </c>
      <c r="F211" s="32"/>
      <c r="G211" s="33"/>
    </row>
    <row r="212" spans="3:10" x14ac:dyDescent="0.2">
      <c r="C212" s="334" t="s">
        <v>81</v>
      </c>
      <c r="D212" s="334"/>
      <c r="E212" s="334"/>
      <c r="F212" s="334"/>
      <c r="G212" s="334"/>
    </row>
    <row r="213" spans="3:10" s="53" customFormat="1" x14ac:dyDescent="0.2">
      <c r="C213" s="328" t="s">
        <v>63</v>
      </c>
      <c r="D213" s="329"/>
      <c r="E213" s="329"/>
      <c r="F213" s="329"/>
      <c r="G213" s="330"/>
      <c r="H213" s="3"/>
      <c r="J213" s="22"/>
    </row>
    <row r="214" spans="3:10" s="53" customFormat="1" ht="15.75" x14ac:dyDescent="0.25">
      <c r="C214" s="35" t="s">
        <v>154</v>
      </c>
      <c r="D214" s="66"/>
      <c r="E214" s="66"/>
      <c r="F214" s="104" t="s">
        <v>159</v>
      </c>
      <c r="G214" s="28">
        <f>16*3*0.3</f>
        <v>14.399999999999999</v>
      </c>
      <c r="H214" s="3"/>
    </row>
    <row r="215" spans="3:10" s="53" customFormat="1" x14ac:dyDescent="0.2">
      <c r="C215" s="35" t="s">
        <v>151</v>
      </c>
      <c r="D215" s="66"/>
      <c r="E215" s="66"/>
      <c r="F215" s="66"/>
      <c r="G215" s="65"/>
      <c r="H215" s="3"/>
    </row>
    <row r="216" spans="3:10" s="53" customFormat="1" x14ac:dyDescent="0.2">
      <c r="C216" s="36" t="s">
        <v>152</v>
      </c>
      <c r="D216" s="67"/>
      <c r="E216" s="67"/>
      <c r="F216" s="67"/>
      <c r="G216" s="68"/>
      <c r="H216" s="3"/>
    </row>
    <row r="217" spans="3:10" s="53" customFormat="1" x14ac:dyDescent="0.2">
      <c r="C217" s="54"/>
      <c r="D217" s="55"/>
      <c r="E217" s="26"/>
      <c r="F217" s="56" t="s">
        <v>161</v>
      </c>
      <c r="G217" s="27"/>
      <c r="H217" s="3"/>
    </row>
    <row r="218" spans="3:10" s="53" customFormat="1" x14ac:dyDescent="0.2">
      <c r="C218" s="335" t="s">
        <v>155</v>
      </c>
      <c r="D218" s="336"/>
      <c r="E218" s="69"/>
      <c r="F218" s="70">
        <v>3</v>
      </c>
      <c r="G218" s="28"/>
      <c r="H218" s="3"/>
    </row>
    <row r="219" spans="3:10" s="53" customFormat="1" x14ac:dyDescent="0.2">
      <c r="C219" s="335" t="s">
        <v>156</v>
      </c>
      <c r="D219" s="336"/>
      <c r="E219" s="69"/>
      <c r="F219" s="70">
        <f>F218*G214</f>
        <v>43.199999999999996</v>
      </c>
      <c r="G219" s="39"/>
      <c r="H219" s="3"/>
    </row>
    <row r="220" spans="3:10" s="53" customFormat="1" x14ac:dyDescent="0.2">
      <c r="C220" s="30" t="s">
        <v>157</v>
      </c>
      <c r="D220" s="31">
        <f>E219+F219</f>
        <v>43.199999999999996</v>
      </c>
      <c r="E220" s="32"/>
      <c r="F220" s="32"/>
      <c r="G220" s="33"/>
      <c r="H220" s="3"/>
    </row>
    <row r="221" spans="3:10" x14ac:dyDescent="0.2">
      <c r="C221" s="333" t="s">
        <v>67</v>
      </c>
      <c r="D221" s="333"/>
      <c r="E221" s="333"/>
      <c r="F221" s="333"/>
      <c r="G221" s="333"/>
    </row>
    <row r="222" spans="3:10" x14ac:dyDescent="0.2">
      <c r="C222" s="63" t="s">
        <v>162</v>
      </c>
      <c r="D222" s="64"/>
      <c r="E222" s="64"/>
      <c r="F222" s="105"/>
      <c r="G222" s="23"/>
    </row>
    <row r="223" spans="3:10" x14ac:dyDescent="0.2">
      <c r="C223" s="54" t="s">
        <v>69</v>
      </c>
      <c r="D223" s="55"/>
      <c r="E223" s="26">
        <v>13.95</v>
      </c>
      <c r="F223" s="55"/>
      <c r="G223" s="34"/>
    </row>
    <row r="224" spans="3:10" x14ac:dyDescent="0.2">
      <c r="C224" s="35" t="s">
        <v>66</v>
      </c>
      <c r="D224" s="69">
        <v>0.3</v>
      </c>
      <c r="E224" s="124"/>
      <c r="F224" s="124"/>
      <c r="G224" s="28"/>
    </row>
    <row r="225" spans="3:7" x14ac:dyDescent="0.2">
      <c r="C225" s="36" t="s">
        <v>60</v>
      </c>
      <c r="D225" s="37">
        <f>D224*E223</f>
        <v>4.1849999999999996</v>
      </c>
      <c r="E225" s="32" t="s">
        <v>58</v>
      </c>
      <c r="F225" s="32"/>
      <c r="G225" s="33"/>
    </row>
    <row r="226" spans="3:7" x14ac:dyDescent="0.2">
      <c r="C226" s="333" t="s">
        <v>71</v>
      </c>
      <c r="D226" s="333"/>
      <c r="E226" s="333"/>
      <c r="F226" s="333"/>
      <c r="G226" s="333"/>
    </row>
    <row r="227" spans="3:7" x14ac:dyDescent="0.2">
      <c r="C227" s="63" t="s">
        <v>162</v>
      </c>
      <c r="D227" s="64"/>
      <c r="E227" s="64"/>
      <c r="F227" s="105"/>
      <c r="G227" s="23"/>
    </row>
    <row r="228" spans="3:7" x14ac:dyDescent="0.2">
      <c r="C228" s="54" t="s">
        <v>72</v>
      </c>
      <c r="D228" s="55"/>
      <c r="E228" s="26">
        <v>15</v>
      </c>
      <c r="F228" s="55"/>
      <c r="G228" s="34"/>
    </row>
    <row r="229" spans="3:7" x14ac:dyDescent="0.2">
      <c r="C229" s="35" t="s">
        <v>66</v>
      </c>
      <c r="D229" s="69">
        <v>0.1</v>
      </c>
      <c r="E229" s="124"/>
      <c r="F229" s="124" t="s">
        <v>73</v>
      </c>
      <c r="G229" s="28">
        <f>(E228*D229)</f>
        <v>1.5</v>
      </c>
    </row>
    <row r="230" spans="3:7" x14ac:dyDescent="0.2">
      <c r="C230" s="35" t="s">
        <v>70</v>
      </c>
      <c r="D230" s="69">
        <v>1</v>
      </c>
      <c r="E230" s="124"/>
      <c r="F230" s="124"/>
      <c r="G230" s="29"/>
    </row>
    <row r="231" spans="3:7" x14ac:dyDescent="0.2">
      <c r="C231" s="36" t="s">
        <v>60</v>
      </c>
      <c r="D231" s="37">
        <f>D230*G229</f>
        <v>1.5</v>
      </c>
      <c r="E231" s="32" t="s">
        <v>58</v>
      </c>
      <c r="F231" s="32"/>
      <c r="G231" s="33"/>
    </row>
    <row r="232" spans="3:7" x14ac:dyDescent="0.2">
      <c r="C232" s="333" t="s">
        <v>74</v>
      </c>
      <c r="D232" s="333"/>
      <c r="E232" s="333"/>
      <c r="F232" s="333"/>
      <c r="G232" s="333"/>
    </row>
    <row r="233" spans="3:7" x14ac:dyDescent="0.2">
      <c r="C233" s="63" t="s">
        <v>162</v>
      </c>
      <c r="D233" s="64"/>
      <c r="E233" s="64"/>
      <c r="F233" s="105"/>
      <c r="G233" s="23"/>
    </row>
    <row r="234" spans="3:7" x14ac:dyDescent="0.2">
      <c r="C234" s="54" t="s">
        <v>72</v>
      </c>
      <c r="D234" s="55"/>
      <c r="E234" s="26">
        <v>15</v>
      </c>
      <c r="F234" s="55"/>
      <c r="G234" s="34"/>
    </row>
    <row r="235" spans="3:7" x14ac:dyDescent="0.2">
      <c r="C235" s="35" t="s">
        <v>66</v>
      </c>
      <c r="D235" s="69">
        <v>0.1</v>
      </c>
      <c r="E235" s="124"/>
      <c r="F235" s="124" t="s">
        <v>73</v>
      </c>
      <c r="G235" s="28">
        <f>(E234*D235)*2</f>
        <v>3</v>
      </c>
    </row>
    <row r="236" spans="3:7" x14ac:dyDescent="0.2">
      <c r="C236" s="35" t="s">
        <v>70</v>
      </c>
      <c r="D236" s="69">
        <v>1</v>
      </c>
      <c r="E236" s="124"/>
      <c r="F236" s="124"/>
      <c r="G236" s="29"/>
    </row>
    <row r="237" spans="3:7" x14ac:dyDescent="0.2">
      <c r="C237" s="36" t="s">
        <v>60</v>
      </c>
      <c r="D237" s="37">
        <f>D236*G235</f>
        <v>3</v>
      </c>
      <c r="E237" s="32" t="s">
        <v>58</v>
      </c>
      <c r="F237" s="32"/>
      <c r="G237" s="33"/>
    </row>
    <row r="238" spans="3:7" x14ac:dyDescent="0.2">
      <c r="C238" s="334" t="s">
        <v>82</v>
      </c>
      <c r="D238" s="334"/>
      <c r="E238" s="334"/>
      <c r="F238" s="334"/>
      <c r="G238" s="334"/>
    </row>
    <row r="239" spans="3:7" x14ac:dyDescent="0.2">
      <c r="C239" s="333" t="s">
        <v>83</v>
      </c>
      <c r="D239" s="333"/>
      <c r="E239" s="333"/>
      <c r="F239" s="333"/>
      <c r="G239" s="102" t="s">
        <v>84</v>
      </c>
    </row>
    <row r="240" spans="3:7" x14ac:dyDescent="0.2">
      <c r="C240" s="54" t="s">
        <v>63</v>
      </c>
      <c r="D240" s="55"/>
      <c r="E240" s="55"/>
      <c r="F240" s="55"/>
      <c r="G240" s="71">
        <f>D220+D194+D168+D141+D114+D87+D61+D33</f>
        <v>1029.5999999999999</v>
      </c>
    </row>
    <row r="241" spans="3:7" x14ac:dyDescent="0.2">
      <c r="C241" s="35" t="s">
        <v>67</v>
      </c>
      <c r="D241" s="124"/>
      <c r="E241" s="124"/>
      <c r="F241" s="124"/>
      <c r="G241" s="72">
        <f>D39+D66+D92+D119+D146+D173+D199+D225</f>
        <v>107.10000000000002</v>
      </c>
    </row>
    <row r="242" spans="3:7" x14ac:dyDescent="0.2">
      <c r="C242" s="35" t="s">
        <v>71</v>
      </c>
      <c r="D242" s="124"/>
      <c r="E242" s="124"/>
      <c r="F242" s="124"/>
      <c r="G242" s="72">
        <f>D45+D72+D98+D125+D152+D179+D205+D231</f>
        <v>31.5</v>
      </c>
    </row>
    <row r="243" spans="3:7" x14ac:dyDescent="0.2">
      <c r="C243" s="35" t="s">
        <v>74</v>
      </c>
      <c r="D243" s="124"/>
      <c r="E243" s="124"/>
      <c r="F243" s="124"/>
      <c r="G243" s="72">
        <f>D51+D78+D104+D131+D158+D185+D211+D237</f>
        <v>114</v>
      </c>
    </row>
    <row r="244" spans="3:7" ht="15.75" x14ac:dyDescent="0.25">
      <c r="C244" s="73" t="s">
        <v>8</v>
      </c>
      <c r="D244" s="74"/>
      <c r="E244" s="74"/>
      <c r="F244" s="74"/>
      <c r="G244" s="76">
        <f>SUM(G240:G243)</f>
        <v>1282.1999999999998</v>
      </c>
    </row>
    <row r="245" spans="3:7" ht="15.75" x14ac:dyDescent="0.25">
      <c r="C245" s="101" t="s">
        <v>2</v>
      </c>
      <c r="D245" s="347" t="s">
        <v>53</v>
      </c>
      <c r="E245" s="347"/>
      <c r="F245" s="347" t="s">
        <v>54</v>
      </c>
      <c r="G245" s="347"/>
    </row>
    <row r="246" spans="3:7" ht="48" customHeight="1" x14ac:dyDescent="0.2">
      <c r="C246" s="21" t="s">
        <v>23</v>
      </c>
      <c r="D246" s="341">
        <v>7002017</v>
      </c>
      <c r="E246" s="342"/>
      <c r="F246" s="349" t="s">
        <v>68</v>
      </c>
      <c r="G246" s="349"/>
    </row>
    <row r="247" spans="3:7" x14ac:dyDescent="0.2">
      <c r="C247" s="344" t="s">
        <v>62</v>
      </c>
      <c r="D247" s="344"/>
      <c r="E247" s="344"/>
      <c r="F247" s="344"/>
      <c r="G247" s="344"/>
    </row>
    <row r="248" spans="3:7" x14ac:dyDescent="0.2">
      <c r="C248" s="333" t="s">
        <v>85</v>
      </c>
      <c r="D248" s="333"/>
      <c r="E248" s="333"/>
      <c r="F248" s="333"/>
      <c r="G248" s="333"/>
    </row>
    <row r="249" spans="3:7" x14ac:dyDescent="0.2">
      <c r="C249" s="63" t="s">
        <v>150</v>
      </c>
      <c r="D249" s="64"/>
      <c r="E249" s="64"/>
      <c r="F249" s="105"/>
      <c r="G249" s="103"/>
    </row>
    <row r="250" spans="3:7" x14ac:dyDescent="0.2">
      <c r="C250" s="54" t="s">
        <v>147</v>
      </c>
      <c r="D250" s="26">
        <v>1.1499999999999999</v>
      </c>
      <c r="E250" s="55" t="s">
        <v>58</v>
      </c>
      <c r="F250" s="55"/>
      <c r="G250" s="34"/>
    </row>
    <row r="251" spans="3:7" x14ac:dyDescent="0.2">
      <c r="C251" s="35" t="s">
        <v>70</v>
      </c>
      <c r="D251" s="69">
        <v>4</v>
      </c>
      <c r="E251" s="124"/>
      <c r="F251" s="124"/>
      <c r="G251" s="29"/>
    </row>
    <row r="252" spans="3:7" x14ac:dyDescent="0.2">
      <c r="C252" s="36" t="s">
        <v>60</v>
      </c>
      <c r="D252" s="37">
        <f>D251*D250</f>
        <v>4.5999999999999996</v>
      </c>
      <c r="E252" s="32" t="s">
        <v>58</v>
      </c>
      <c r="F252" s="32"/>
      <c r="G252" s="33"/>
    </row>
    <row r="253" spans="3:7" x14ac:dyDescent="0.2">
      <c r="C253" s="334" t="s">
        <v>75</v>
      </c>
      <c r="D253" s="334"/>
      <c r="E253" s="334"/>
      <c r="F253" s="334"/>
      <c r="G253" s="334"/>
    </row>
    <row r="254" spans="3:7" x14ac:dyDescent="0.2">
      <c r="C254" s="333" t="s">
        <v>85</v>
      </c>
      <c r="D254" s="333"/>
      <c r="E254" s="333"/>
      <c r="F254" s="333"/>
      <c r="G254" s="333"/>
    </row>
    <row r="255" spans="3:7" x14ac:dyDescent="0.2">
      <c r="C255" s="63" t="s">
        <v>150</v>
      </c>
      <c r="D255" s="64"/>
      <c r="E255" s="64"/>
      <c r="F255" s="105"/>
      <c r="G255" s="103"/>
    </row>
    <row r="256" spans="3:7" x14ac:dyDescent="0.2">
      <c r="C256" s="54" t="s">
        <v>147</v>
      </c>
      <c r="D256" s="26">
        <v>1.1499999999999999</v>
      </c>
      <c r="E256" s="55" t="s">
        <v>58</v>
      </c>
      <c r="F256" s="55"/>
      <c r="G256" s="34"/>
    </row>
    <row r="257" spans="3:7" x14ac:dyDescent="0.2">
      <c r="C257" s="35" t="s">
        <v>70</v>
      </c>
      <c r="D257" s="69">
        <v>7</v>
      </c>
      <c r="E257" s="124"/>
      <c r="F257" s="124"/>
      <c r="G257" s="29"/>
    </row>
    <row r="258" spans="3:7" x14ac:dyDescent="0.2">
      <c r="C258" s="36" t="s">
        <v>60</v>
      </c>
      <c r="D258" s="37">
        <f>D257*D256</f>
        <v>8.0499999999999989</v>
      </c>
      <c r="E258" s="32" t="s">
        <v>58</v>
      </c>
      <c r="F258" s="32"/>
      <c r="G258" s="33"/>
    </row>
    <row r="259" spans="3:7" x14ac:dyDescent="0.2">
      <c r="C259" s="334" t="s">
        <v>76</v>
      </c>
      <c r="D259" s="334"/>
      <c r="E259" s="334"/>
      <c r="F259" s="334"/>
      <c r="G259" s="334"/>
    </row>
    <row r="260" spans="3:7" x14ac:dyDescent="0.2">
      <c r="C260" s="333" t="s">
        <v>85</v>
      </c>
      <c r="D260" s="333"/>
      <c r="E260" s="333"/>
      <c r="F260" s="333"/>
      <c r="G260" s="333"/>
    </row>
    <row r="261" spans="3:7" x14ac:dyDescent="0.2">
      <c r="C261" s="63" t="s">
        <v>150</v>
      </c>
      <c r="D261" s="64"/>
      <c r="E261" s="64"/>
      <c r="F261" s="105"/>
      <c r="G261" s="103"/>
    </row>
    <row r="262" spans="3:7" x14ac:dyDescent="0.2">
      <c r="C262" s="54" t="s">
        <v>147</v>
      </c>
      <c r="D262" s="26">
        <v>1.1499999999999999</v>
      </c>
      <c r="E262" s="55" t="s">
        <v>58</v>
      </c>
      <c r="F262" s="55"/>
      <c r="G262" s="34"/>
    </row>
    <row r="263" spans="3:7" x14ac:dyDescent="0.2">
      <c r="C263" s="35" t="s">
        <v>70</v>
      </c>
      <c r="D263" s="69">
        <v>4</v>
      </c>
      <c r="E263" s="124"/>
      <c r="F263" s="124"/>
      <c r="G263" s="29"/>
    </row>
    <row r="264" spans="3:7" x14ac:dyDescent="0.2">
      <c r="C264" s="36" t="s">
        <v>60</v>
      </c>
      <c r="D264" s="37">
        <f>D263*D262</f>
        <v>4.5999999999999996</v>
      </c>
      <c r="E264" s="32" t="s">
        <v>58</v>
      </c>
      <c r="F264" s="32"/>
      <c r="G264" s="33"/>
    </row>
    <row r="265" spans="3:7" x14ac:dyDescent="0.2">
      <c r="C265" s="334" t="s">
        <v>77</v>
      </c>
      <c r="D265" s="334"/>
      <c r="E265" s="334"/>
      <c r="F265" s="334"/>
      <c r="G265" s="334"/>
    </row>
    <row r="266" spans="3:7" x14ac:dyDescent="0.2">
      <c r="C266" s="333" t="s">
        <v>85</v>
      </c>
      <c r="D266" s="333"/>
      <c r="E266" s="333"/>
      <c r="F266" s="333"/>
      <c r="G266" s="333"/>
    </row>
    <row r="267" spans="3:7" x14ac:dyDescent="0.2">
      <c r="C267" s="63" t="s">
        <v>150</v>
      </c>
      <c r="D267" s="64"/>
      <c r="E267" s="64"/>
      <c r="F267" s="105"/>
      <c r="G267" s="103"/>
    </row>
    <row r="268" spans="3:7" x14ac:dyDescent="0.2">
      <c r="C268" s="54" t="s">
        <v>147</v>
      </c>
      <c r="D268" s="26">
        <v>1.1499999999999999</v>
      </c>
      <c r="E268" s="55" t="s">
        <v>58</v>
      </c>
      <c r="F268" s="55"/>
      <c r="G268" s="34"/>
    </row>
    <row r="269" spans="3:7" x14ac:dyDescent="0.2">
      <c r="C269" s="35" t="s">
        <v>70</v>
      </c>
      <c r="D269" s="69">
        <v>12</v>
      </c>
      <c r="E269" s="124"/>
      <c r="F269" s="124"/>
      <c r="G269" s="29"/>
    </row>
    <row r="270" spans="3:7" x14ac:dyDescent="0.2">
      <c r="C270" s="36" t="s">
        <v>60</v>
      </c>
      <c r="D270" s="37">
        <f>D269*D268</f>
        <v>13.799999999999999</v>
      </c>
      <c r="E270" s="32" t="s">
        <v>58</v>
      </c>
      <c r="F270" s="32"/>
      <c r="G270" s="33"/>
    </row>
    <row r="271" spans="3:7" x14ac:dyDescent="0.2">
      <c r="C271" s="334" t="s">
        <v>78</v>
      </c>
      <c r="D271" s="334"/>
      <c r="E271" s="334"/>
      <c r="F271" s="334"/>
      <c r="G271" s="334"/>
    </row>
    <row r="272" spans="3:7" x14ac:dyDescent="0.2">
      <c r="C272" s="333" t="s">
        <v>85</v>
      </c>
      <c r="D272" s="333"/>
      <c r="E272" s="333"/>
      <c r="F272" s="333"/>
      <c r="G272" s="333"/>
    </row>
    <row r="273" spans="3:7" x14ac:dyDescent="0.2">
      <c r="C273" s="63" t="s">
        <v>162</v>
      </c>
      <c r="D273" s="64"/>
      <c r="E273" s="64"/>
      <c r="F273" s="105"/>
      <c r="G273" s="103"/>
    </row>
    <row r="274" spans="3:7" x14ac:dyDescent="0.2">
      <c r="C274" s="54" t="s">
        <v>147</v>
      </c>
      <c r="D274" s="26">
        <v>1.1499999999999999</v>
      </c>
      <c r="E274" s="55" t="s">
        <v>58</v>
      </c>
      <c r="F274" s="55"/>
      <c r="G274" s="34"/>
    </row>
    <row r="275" spans="3:7" x14ac:dyDescent="0.2">
      <c r="C275" s="35" t="s">
        <v>70</v>
      </c>
      <c r="D275" s="69">
        <v>7</v>
      </c>
      <c r="E275" s="124"/>
      <c r="F275" s="124"/>
      <c r="G275" s="29"/>
    </row>
    <row r="276" spans="3:7" x14ac:dyDescent="0.2">
      <c r="C276" s="36" t="s">
        <v>60</v>
      </c>
      <c r="D276" s="37">
        <f>D275*D274</f>
        <v>8.0499999999999989</v>
      </c>
      <c r="E276" s="32" t="s">
        <v>58</v>
      </c>
      <c r="F276" s="32"/>
      <c r="G276" s="33"/>
    </row>
    <row r="277" spans="3:7" x14ac:dyDescent="0.2">
      <c r="C277" s="334" t="s">
        <v>79</v>
      </c>
      <c r="D277" s="334"/>
      <c r="E277" s="334"/>
      <c r="F277" s="334"/>
      <c r="G277" s="334"/>
    </row>
    <row r="278" spans="3:7" x14ac:dyDescent="0.2">
      <c r="C278" s="333" t="s">
        <v>85</v>
      </c>
      <c r="D278" s="333"/>
      <c r="E278" s="333"/>
      <c r="F278" s="333"/>
      <c r="G278" s="333"/>
    </row>
    <row r="279" spans="3:7" x14ac:dyDescent="0.2">
      <c r="C279" s="63" t="s">
        <v>162</v>
      </c>
      <c r="D279" s="64"/>
      <c r="E279" s="64"/>
      <c r="F279" s="105"/>
      <c r="G279" s="103"/>
    </row>
    <row r="280" spans="3:7" x14ac:dyDescent="0.2">
      <c r="C280" s="54" t="s">
        <v>147</v>
      </c>
      <c r="D280" s="26">
        <v>1.1499999999999999</v>
      </c>
      <c r="E280" s="55" t="s">
        <v>58</v>
      </c>
      <c r="F280" s="55"/>
      <c r="G280" s="34"/>
    </row>
    <row r="281" spans="3:7" x14ac:dyDescent="0.2">
      <c r="C281" s="35" t="s">
        <v>70</v>
      </c>
      <c r="D281" s="69">
        <v>7</v>
      </c>
      <c r="E281" s="124"/>
      <c r="F281" s="124"/>
      <c r="G281" s="29"/>
    </row>
    <row r="282" spans="3:7" x14ac:dyDescent="0.2">
      <c r="C282" s="36" t="s">
        <v>60</v>
      </c>
      <c r="D282" s="37">
        <f>D281*D280</f>
        <v>8.0499999999999989</v>
      </c>
      <c r="E282" s="32" t="s">
        <v>58</v>
      </c>
      <c r="F282" s="32"/>
      <c r="G282" s="33"/>
    </row>
    <row r="283" spans="3:7" x14ac:dyDescent="0.2">
      <c r="C283" s="334" t="s">
        <v>80</v>
      </c>
      <c r="D283" s="334"/>
      <c r="E283" s="334"/>
      <c r="F283" s="334"/>
      <c r="G283" s="334"/>
    </row>
    <row r="284" spans="3:7" x14ac:dyDescent="0.2">
      <c r="C284" s="333" t="s">
        <v>85</v>
      </c>
      <c r="D284" s="333"/>
      <c r="E284" s="333"/>
      <c r="F284" s="333"/>
      <c r="G284" s="333"/>
    </row>
    <row r="285" spans="3:7" x14ac:dyDescent="0.2">
      <c r="C285" s="63" t="s">
        <v>162</v>
      </c>
      <c r="D285" s="64"/>
      <c r="E285" s="64"/>
      <c r="F285" s="105"/>
      <c r="G285" s="103"/>
    </row>
    <row r="286" spans="3:7" x14ac:dyDescent="0.2">
      <c r="C286" s="54" t="s">
        <v>147</v>
      </c>
      <c r="D286" s="26">
        <v>1.1499999999999999</v>
      </c>
      <c r="E286" s="55" t="s">
        <v>58</v>
      </c>
      <c r="F286" s="55"/>
      <c r="G286" s="34"/>
    </row>
    <row r="287" spans="3:7" x14ac:dyDescent="0.2">
      <c r="C287" s="35" t="s">
        <v>70</v>
      </c>
      <c r="D287" s="69">
        <v>4</v>
      </c>
      <c r="E287" s="124"/>
      <c r="F287" s="124"/>
      <c r="G287" s="29"/>
    </row>
    <row r="288" spans="3:7" x14ac:dyDescent="0.2">
      <c r="C288" s="36" t="s">
        <v>60</v>
      </c>
      <c r="D288" s="37">
        <f>D287*D286</f>
        <v>4.5999999999999996</v>
      </c>
      <c r="E288" s="32" t="s">
        <v>58</v>
      </c>
      <c r="F288" s="32"/>
      <c r="G288" s="33"/>
    </row>
    <row r="289" spans="3:7" x14ac:dyDescent="0.2">
      <c r="C289" s="334" t="s">
        <v>81</v>
      </c>
      <c r="D289" s="334"/>
      <c r="E289" s="334"/>
      <c r="F289" s="334"/>
      <c r="G289" s="334"/>
    </row>
    <row r="290" spans="3:7" x14ac:dyDescent="0.2">
      <c r="C290" s="333" t="s">
        <v>85</v>
      </c>
      <c r="D290" s="333"/>
      <c r="E290" s="333"/>
      <c r="F290" s="333"/>
      <c r="G290" s="333"/>
    </row>
    <row r="291" spans="3:7" x14ac:dyDescent="0.2">
      <c r="C291" s="63" t="s">
        <v>162</v>
      </c>
      <c r="D291" s="64"/>
      <c r="E291" s="64"/>
      <c r="F291" s="105"/>
      <c r="G291" s="103"/>
    </row>
    <row r="292" spans="3:7" x14ac:dyDescent="0.2">
      <c r="C292" s="54" t="s">
        <v>147</v>
      </c>
      <c r="D292" s="26">
        <v>1.1499999999999999</v>
      </c>
      <c r="E292" s="55" t="s">
        <v>58</v>
      </c>
      <c r="F292" s="55"/>
      <c r="G292" s="34"/>
    </row>
    <row r="293" spans="3:7" x14ac:dyDescent="0.2">
      <c r="C293" s="35" t="s">
        <v>70</v>
      </c>
      <c r="D293" s="69">
        <v>1</v>
      </c>
      <c r="E293" s="124"/>
      <c r="F293" s="124"/>
      <c r="G293" s="29"/>
    </row>
    <row r="294" spans="3:7" x14ac:dyDescent="0.2">
      <c r="C294" s="36" t="s">
        <v>60</v>
      </c>
      <c r="D294" s="37">
        <f>D293*D292</f>
        <v>1.1499999999999999</v>
      </c>
      <c r="E294" s="32" t="s">
        <v>58</v>
      </c>
      <c r="F294" s="32"/>
      <c r="G294" s="33"/>
    </row>
    <row r="295" spans="3:7" x14ac:dyDescent="0.2">
      <c r="C295" s="334" t="s">
        <v>82</v>
      </c>
      <c r="D295" s="334"/>
      <c r="E295" s="334"/>
      <c r="F295" s="334"/>
      <c r="G295" s="334"/>
    </row>
    <row r="296" spans="3:7" x14ac:dyDescent="0.2">
      <c r="C296" s="333" t="s">
        <v>83</v>
      </c>
      <c r="D296" s="333"/>
      <c r="E296" s="333"/>
      <c r="F296" s="333"/>
      <c r="G296" s="102" t="s">
        <v>84</v>
      </c>
    </row>
    <row r="297" spans="3:7" ht="15.75" x14ac:dyDescent="0.25">
      <c r="C297" s="73" t="s">
        <v>8</v>
      </c>
      <c r="D297" s="74"/>
      <c r="E297" s="74"/>
      <c r="F297" s="74"/>
      <c r="G297" s="75">
        <f>D294+D288+D282+D276+D270+D264+D258+D252</f>
        <v>52.9</v>
      </c>
    </row>
    <row r="298" spans="3:7" ht="15.75" x14ac:dyDescent="0.25">
      <c r="C298" s="101" t="s">
        <v>2</v>
      </c>
      <c r="D298" s="347" t="s">
        <v>53</v>
      </c>
      <c r="E298" s="347"/>
      <c r="F298" s="347" t="s">
        <v>54</v>
      </c>
      <c r="G298" s="347"/>
    </row>
    <row r="299" spans="3:7" ht="27" customHeight="1" x14ac:dyDescent="0.2">
      <c r="C299" s="21" t="s">
        <v>29</v>
      </c>
      <c r="D299" s="348">
        <v>370527</v>
      </c>
      <c r="E299" s="348"/>
      <c r="F299" s="349" t="s">
        <v>135</v>
      </c>
      <c r="G299" s="349"/>
    </row>
    <row r="300" spans="3:7" x14ac:dyDescent="0.2">
      <c r="C300" s="35" t="s">
        <v>86</v>
      </c>
      <c r="D300" s="124"/>
      <c r="E300" s="125">
        <f>2.75*1.25</f>
        <v>3.4375</v>
      </c>
      <c r="F300" s="124" t="s">
        <v>84</v>
      </c>
      <c r="G300" s="29"/>
    </row>
    <row r="301" spans="3:7" x14ac:dyDescent="0.2">
      <c r="C301" s="35" t="s">
        <v>87</v>
      </c>
      <c r="D301" s="124"/>
      <c r="E301" s="125">
        <f>2.7*1.25</f>
        <v>3.375</v>
      </c>
      <c r="F301" s="124" t="s">
        <v>84</v>
      </c>
      <c r="G301" s="29"/>
    </row>
    <row r="302" spans="3:7" x14ac:dyDescent="0.2">
      <c r="C302" s="35" t="s">
        <v>88</v>
      </c>
      <c r="D302" s="124"/>
      <c r="E302" s="125">
        <f>2.1*0.592</f>
        <v>1.2432000000000001</v>
      </c>
      <c r="F302" s="124" t="s">
        <v>84</v>
      </c>
      <c r="G302" s="29"/>
    </row>
    <row r="303" spans="3:7" x14ac:dyDescent="0.2">
      <c r="C303" s="35" t="s">
        <v>88</v>
      </c>
      <c r="D303" s="124"/>
      <c r="E303" s="125">
        <f>2.1*0.592</f>
        <v>1.2432000000000001</v>
      </c>
      <c r="F303" s="124" t="s">
        <v>84</v>
      </c>
      <c r="G303" s="29"/>
    </row>
    <row r="304" spans="3:7" x14ac:dyDescent="0.2">
      <c r="C304" s="35" t="s">
        <v>89</v>
      </c>
      <c r="D304" s="124"/>
      <c r="E304" s="125">
        <f>2.709*1.254</f>
        <v>3.3970860000000003</v>
      </c>
      <c r="F304" s="124" t="s">
        <v>84</v>
      </c>
      <c r="G304" s="29"/>
    </row>
    <row r="305" spans="3:9" x14ac:dyDescent="0.2">
      <c r="C305" s="35" t="s">
        <v>90</v>
      </c>
      <c r="D305" s="124"/>
      <c r="E305" s="125">
        <f>2.708*1.253</f>
        <v>3.3931239999999998</v>
      </c>
      <c r="F305" s="124" t="s">
        <v>84</v>
      </c>
      <c r="G305" s="29"/>
    </row>
    <row r="306" spans="3:9" x14ac:dyDescent="0.2">
      <c r="C306" s="35" t="s">
        <v>91</v>
      </c>
      <c r="D306" s="124"/>
      <c r="E306" s="125">
        <f>2.6*1.249</f>
        <v>3.2474000000000003</v>
      </c>
      <c r="F306" s="124" t="s">
        <v>84</v>
      </c>
      <c r="G306" s="29"/>
    </row>
    <row r="307" spans="3:9" x14ac:dyDescent="0.2">
      <c r="C307" s="35" t="s">
        <v>92</v>
      </c>
      <c r="D307" s="124"/>
      <c r="E307" s="125">
        <f>2.6*1.25</f>
        <v>3.25</v>
      </c>
      <c r="F307" s="124" t="s">
        <v>84</v>
      </c>
      <c r="G307" s="29"/>
    </row>
    <row r="308" spans="3:9" x14ac:dyDescent="0.2">
      <c r="C308" s="35" t="s">
        <v>93</v>
      </c>
      <c r="D308" s="124"/>
      <c r="E308" s="125">
        <f>2.404*0.592</f>
        <v>1.423168</v>
      </c>
      <c r="F308" s="124" t="s">
        <v>84</v>
      </c>
      <c r="G308" s="29"/>
    </row>
    <row r="309" spans="3:9" x14ac:dyDescent="0.2">
      <c r="C309" s="35" t="s">
        <v>94</v>
      </c>
      <c r="D309" s="124"/>
      <c r="E309" s="125">
        <f>2.8*1.2</f>
        <v>3.36</v>
      </c>
      <c r="F309" s="124" t="s">
        <v>84</v>
      </c>
      <c r="G309" s="29"/>
    </row>
    <row r="310" spans="3:9" x14ac:dyDescent="0.2">
      <c r="C310" s="35" t="s">
        <v>95</v>
      </c>
      <c r="D310" s="124"/>
      <c r="E310" s="125">
        <f>2.8*1.2</f>
        <v>3.36</v>
      </c>
      <c r="F310" s="124" t="s">
        <v>84</v>
      </c>
      <c r="G310" s="29"/>
    </row>
    <row r="311" spans="3:9" x14ac:dyDescent="0.2">
      <c r="C311" s="35" t="s">
        <v>96</v>
      </c>
      <c r="D311" s="124"/>
      <c r="E311" s="125">
        <f>2.203*0.592</f>
        <v>1.3041759999999998</v>
      </c>
      <c r="F311" s="124" t="s">
        <v>84</v>
      </c>
      <c r="G311" s="29"/>
    </row>
    <row r="312" spans="3:9" x14ac:dyDescent="0.2">
      <c r="C312" s="35" t="s">
        <v>97</v>
      </c>
      <c r="D312" s="124"/>
      <c r="E312" s="125">
        <f>2.808*1.249</f>
        <v>3.5071920000000003</v>
      </c>
      <c r="F312" s="124" t="s">
        <v>84</v>
      </c>
      <c r="G312" s="29"/>
    </row>
    <row r="313" spans="3:9" x14ac:dyDescent="0.2">
      <c r="C313" s="35" t="s">
        <v>98</v>
      </c>
      <c r="D313" s="124"/>
      <c r="E313" s="125">
        <f>2.304*1.144</f>
        <v>2.6357759999999995</v>
      </c>
      <c r="F313" s="124" t="s">
        <v>84</v>
      </c>
      <c r="G313" s="29"/>
    </row>
    <row r="314" spans="3:9" x14ac:dyDescent="0.2">
      <c r="C314" s="35"/>
      <c r="D314" s="124"/>
      <c r="E314" s="124"/>
      <c r="F314" s="124"/>
      <c r="G314" s="29"/>
      <c r="H314" s="44"/>
      <c r="I314" s="45"/>
    </row>
    <row r="315" spans="3:9" x14ac:dyDescent="0.2">
      <c r="C315" s="36" t="s">
        <v>8</v>
      </c>
      <c r="D315" s="32"/>
      <c r="E315" s="38">
        <f>SUBTOTAL(9,E300:E313)</f>
        <v>38.176822000000001</v>
      </c>
      <c r="F315" s="124" t="s">
        <v>84</v>
      </c>
      <c r="G315" s="29"/>
      <c r="H315" s="44"/>
      <c r="I315" s="45"/>
    </row>
    <row r="316" spans="3:9" ht="15.75" x14ac:dyDescent="0.25">
      <c r="C316" s="101" t="s">
        <v>2</v>
      </c>
      <c r="D316" s="347" t="s">
        <v>53</v>
      </c>
      <c r="E316" s="347"/>
      <c r="F316" s="347" t="s">
        <v>54</v>
      </c>
      <c r="G316" s="347"/>
      <c r="H316" s="44"/>
      <c r="I316" s="45"/>
    </row>
    <row r="317" spans="3:9" ht="43.9" customHeight="1" x14ac:dyDescent="0.2">
      <c r="C317" s="21" t="s">
        <v>30</v>
      </c>
      <c r="D317" s="348" t="s">
        <v>32</v>
      </c>
      <c r="E317" s="348"/>
      <c r="F317" s="349" t="s">
        <v>145</v>
      </c>
      <c r="G317" s="349"/>
      <c r="H317" s="44"/>
      <c r="I317" s="45"/>
    </row>
    <row r="318" spans="3:9" x14ac:dyDescent="0.2">
      <c r="C318" s="54" t="s">
        <v>88</v>
      </c>
      <c r="D318" s="55"/>
      <c r="E318" s="40">
        <f>2.006*0.592</f>
        <v>1.1875519999999997</v>
      </c>
      <c r="F318" s="55" t="s">
        <v>84</v>
      </c>
      <c r="G318" s="34"/>
      <c r="H318" s="44"/>
      <c r="I318" s="45"/>
    </row>
    <row r="319" spans="3:9" x14ac:dyDescent="0.2">
      <c r="C319" s="35" t="s">
        <v>88</v>
      </c>
      <c r="D319" s="124"/>
      <c r="E319" s="125">
        <f>2.006*0.592</f>
        <v>1.1875519999999997</v>
      </c>
      <c r="F319" s="124" t="s">
        <v>84</v>
      </c>
      <c r="G319" s="29"/>
      <c r="H319" s="44"/>
      <c r="I319" s="45"/>
    </row>
    <row r="320" spans="3:9" x14ac:dyDescent="0.2">
      <c r="C320" s="35" t="s">
        <v>99</v>
      </c>
      <c r="D320" s="124"/>
      <c r="E320" s="125">
        <f>1.103*0.373</f>
        <v>0.41141899999999998</v>
      </c>
      <c r="F320" s="124" t="s">
        <v>84</v>
      </c>
      <c r="G320" s="29"/>
      <c r="H320" s="44"/>
      <c r="I320" s="45"/>
    </row>
    <row r="321" spans="3:9" x14ac:dyDescent="0.2">
      <c r="C321" s="35" t="s">
        <v>101</v>
      </c>
      <c r="D321" s="124"/>
      <c r="E321" s="125">
        <f>2.256*0.706</f>
        <v>1.5927359999999997</v>
      </c>
      <c r="F321" s="124" t="s">
        <v>84</v>
      </c>
      <c r="G321" s="29"/>
      <c r="H321" s="44"/>
      <c r="I321" s="45"/>
    </row>
    <row r="322" spans="3:9" x14ac:dyDescent="0.2">
      <c r="C322" s="35" t="s">
        <v>101</v>
      </c>
      <c r="D322" s="124"/>
      <c r="E322" s="125">
        <f>2.256*0.706</f>
        <v>1.5927359999999997</v>
      </c>
      <c r="F322" s="124" t="s">
        <v>84</v>
      </c>
      <c r="G322" s="29"/>
      <c r="H322" s="44"/>
      <c r="I322" s="45"/>
    </row>
    <row r="323" spans="3:9" x14ac:dyDescent="0.2">
      <c r="C323" s="35" t="s">
        <v>102</v>
      </c>
      <c r="D323" s="124"/>
      <c r="E323" s="125">
        <f>1.503*0.373</f>
        <v>0.56061899999999998</v>
      </c>
      <c r="F323" s="124" t="s">
        <v>84</v>
      </c>
      <c r="G323" s="29"/>
      <c r="H323" s="44"/>
      <c r="I323" s="45"/>
    </row>
    <row r="324" spans="3:9" x14ac:dyDescent="0.2">
      <c r="C324" s="35" t="s">
        <v>93</v>
      </c>
      <c r="D324" s="124"/>
      <c r="E324" s="125">
        <f>2.006*0.592</f>
        <v>1.1875519999999997</v>
      </c>
      <c r="F324" s="124" t="s">
        <v>84</v>
      </c>
      <c r="G324" s="29"/>
      <c r="H324" s="44"/>
      <c r="I324" s="45"/>
    </row>
    <row r="325" spans="3:9" x14ac:dyDescent="0.2">
      <c r="C325" s="35" t="s">
        <v>96</v>
      </c>
      <c r="D325" s="124"/>
      <c r="E325" s="125">
        <f>2.15*0.592</f>
        <v>1.2727999999999999</v>
      </c>
      <c r="F325" s="124" t="s">
        <v>84</v>
      </c>
      <c r="G325" s="29"/>
      <c r="H325" s="44"/>
      <c r="I325" s="45"/>
    </row>
    <row r="326" spans="3:9" x14ac:dyDescent="0.2">
      <c r="C326" s="35" t="s">
        <v>103</v>
      </c>
      <c r="D326" s="124"/>
      <c r="E326" s="125">
        <f>2.153*0.592</f>
        <v>1.2745759999999999</v>
      </c>
      <c r="F326" s="124" t="s">
        <v>84</v>
      </c>
      <c r="G326" s="29"/>
      <c r="H326" s="44"/>
      <c r="I326" s="45"/>
    </row>
    <row r="327" spans="3:9" x14ac:dyDescent="0.2">
      <c r="C327" s="35" t="s">
        <v>105</v>
      </c>
      <c r="D327" s="124"/>
      <c r="E327" s="125">
        <f>1.557*0.31</f>
        <v>0.48266999999999999</v>
      </c>
      <c r="F327" s="124" t="s">
        <v>84</v>
      </c>
      <c r="G327" s="29"/>
      <c r="H327" s="350"/>
      <c r="I327" s="45"/>
    </row>
    <row r="328" spans="3:9" x14ac:dyDescent="0.2">
      <c r="C328" s="35" t="s">
        <v>105</v>
      </c>
      <c r="D328" s="124"/>
      <c r="E328" s="125">
        <f>1.557*0.31</f>
        <v>0.48266999999999999</v>
      </c>
      <c r="F328" s="124" t="s">
        <v>84</v>
      </c>
      <c r="G328" s="29"/>
      <c r="H328" s="350"/>
      <c r="I328" s="45"/>
    </row>
    <row r="329" spans="3:9" x14ac:dyDescent="0.2">
      <c r="C329" s="35" t="s">
        <v>106</v>
      </c>
      <c r="D329" s="124"/>
      <c r="E329" s="125">
        <f>0.755*0.31</f>
        <v>0.23405000000000001</v>
      </c>
      <c r="F329" s="124" t="s">
        <v>84</v>
      </c>
      <c r="G329" s="29"/>
      <c r="H329" s="350"/>
      <c r="I329" s="45"/>
    </row>
    <row r="330" spans="3:9" x14ac:dyDescent="0.2">
      <c r="C330" s="35" t="s">
        <v>106</v>
      </c>
      <c r="D330" s="124"/>
      <c r="E330" s="125">
        <f>0.755*0.31</f>
        <v>0.23405000000000001</v>
      </c>
      <c r="F330" s="124" t="s">
        <v>84</v>
      </c>
      <c r="G330" s="29"/>
      <c r="H330" s="350"/>
      <c r="I330" s="45"/>
    </row>
    <row r="331" spans="3:9" x14ac:dyDescent="0.2">
      <c r="C331" s="35" t="s">
        <v>107</v>
      </c>
      <c r="D331" s="124"/>
      <c r="E331" s="125">
        <f>1.907*0.31</f>
        <v>0.59116999999999997</v>
      </c>
      <c r="F331" s="124" t="s">
        <v>84</v>
      </c>
      <c r="G331" s="29"/>
      <c r="H331" s="350"/>
      <c r="I331" s="45"/>
    </row>
    <row r="332" spans="3:9" x14ac:dyDescent="0.2">
      <c r="C332" s="35" t="s">
        <v>107</v>
      </c>
      <c r="D332" s="124"/>
      <c r="E332" s="125">
        <f>1.907*0.31</f>
        <v>0.59116999999999997</v>
      </c>
      <c r="F332" s="124" t="s">
        <v>84</v>
      </c>
      <c r="G332" s="29"/>
      <c r="H332" s="350"/>
      <c r="I332" s="45"/>
    </row>
    <row r="333" spans="3:9" x14ac:dyDescent="0.2">
      <c r="C333" s="35" t="s">
        <v>108</v>
      </c>
      <c r="D333" s="124"/>
      <c r="E333" s="125">
        <f>1.203*0.31</f>
        <v>0.37293000000000004</v>
      </c>
      <c r="F333" s="124" t="s">
        <v>84</v>
      </c>
      <c r="G333" s="29"/>
      <c r="H333" s="350"/>
      <c r="I333" s="45"/>
    </row>
    <row r="334" spans="3:9" x14ac:dyDescent="0.2">
      <c r="C334" s="35" t="s">
        <v>108</v>
      </c>
      <c r="D334" s="124"/>
      <c r="E334" s="125">
        <f>1.203*0.31</f>
        <v>0.37293000000000004</v>
      </c>
      <c r="F334" s="124" t="s">
        <v>84</v>
      </c>
      <c r="G334" s="29"/>
      <c r="H334" s="350"/>
      <c r="I334" s="45"/>
    </row>
    <row r="335" spans="3:9" x14ac:dyDescent="0.2">
      <c r="C335" s="35" t="s">
        <v>109</v>
      </c>
      <c r="D335" s="124"/>
      <c r="E335" s="125">
        <f>1.9*0.31</f>
        <v>0.58899999999999997</v>
      </c>
      <c r="F335" s="124" t="s">
        <v>84</v>
      </c>
      <c r="G335" s="29"/>
      <c r="H335" s="350"/>
      <c r="I335" s="45"/>
    </row>
    <row r="336" spans="3:9" x14ac:dyDescent="0.2">
      <c r="C336" s="35" t="s">
        <v>109</v>
      </c>
      <c r="D336" s="124"/>
      <c r="E336" s="125">
        <f>1.9*0.31</f>
        <v>0.58899999999999997</v>
      </c>
      <c r="F336" s="124" t="s">
        <v>84</v>
      </c>
      <c r="G336" s="29"/>
      <c r="H336" s="350"/>
      <c r="I336" s="45"/>
    </row>
    <row r="337" spans="3:9" x14ac:dyDescent="0.2">
      <c r="C337" s="35" t="s">
        <v>110</v>
      </c>
      <c r="D337" s="124"/>
      <c r="E337" s="125">
        <f>1.909*0.31</f>
        <v>0.59179000000000004</v>
      </c>
      <c r="F337" s="124" t="s">
        <v>84</v>
      </c>
      <c r="G337" s="29"/>
      <c r="H337" s="350"/>
      <c r="I337" s="45"/>
    </row>
    <row r="338" spans="3:9" x14ac:dyDescent="0.2">
      <c r="C338" s="35" t="s">
        <v>110</v>
      </c>
      <c r="D338" s="124"/>
      <c r="E338" s="125">
        <f>1.909*0.31</f>
        <v>0.59179000000000004</v>
      </c>
      <c r="F338" s="124" t="s">
        <v>84</v>
      </c>
      <c r="G338" s="29"/>
      <c r="H338" s="350"/>
      <c r="I338" s="45"/>
    </row>
    <row r="339" spans="3:9" x14ac:dyDescent="0.2">
      <c r="C339" s="35" t="s">
        <v>111</v>
      </c>
      <c r="D339" s="124"/>
      <c r="E339" s="125">
        <f>1.804*0.31</f>
        <v>0.55923999999999996</v>
      </c>
      <c r="F339" s="124" t="s">
        <v>84</v>
      </c>
      <c r="G339" s="29"/>
      <c r="H339" s="44"/>
      <c r="I339" s="45"/>
    </row>
    <row r="340" spans="3:9" x14ac:dyDescent="0.2">
      <c r="C340" s="35" t="s">
        <v>112</v>
      </c>
      <c r="D340" s="124"/>
      <c r="E340" s="125">
        <f>0.901*0.31</f>
        <v>0.27931</v>
      </c>
      <c r="F340" s="124" t="s">
        <v>84</v>
      </c>
      <c r="G340" s="29"/>
      <c r="H340" s="44"/>
      <c r="I340" s="45"/>
    </row>
    <row r="341" spans="3:9" x14ac:dyDescent="0.2">
      <c r="C341" s="35" t="s">
        <v>113</v>
      </c>
      <c r="D341" s="124"/>
      <c r="E341" s="125">
        <f>0.708*0.31</f>
        <v>0.21947999999999998</v>
      </c>
      <c r="F341" s="124" t="s">
        <v>84</v>
      </c>
      <c r="G341" s="29"/>
      <c r="H341" s="44"/>
      <c r="I341" s="45"/>
    </row>
    <row r="342" spans="3:9" x14ac:dyDescent="0.2">
      <c r="C342" s="35" t="s">
        <v>114</v>
      </c>
      <c r="D342" s="124"/>
      <c r="E342" s="125">
        <f>0.807*0.31</f>
        <v>0.25017</v>
      </c>
      <c r="F342" s="124" t="s">
        <v>84</v>
      </c>
      <c r="G342" s="29"/>
      <c r="H342" s="350"/>
      <c r="I342" s="45"/>
    </row>
    <row r="343" spans="3:9" x14ac:dyDescent="0.2">
      <c r="C343" s="35" t="s">
        <v>114</v>
      </c>
      <c r="D343" s="124"/>
      <c r="E343" s="125">
        <f>0.807*0.31</f>
        <v>0.25017</v>
      </c>
      <c r="F343" s="124" t="s">
        <v>84</v>
      </c>
      <c r="G343" s="29"/>
      <c r="H343" s="350"/>
      <c r="I343" s="45"/>
    </row>
    <row r="344" spans="3:9" x14ac:dyDescent="0.2">
      <c r="C344" s="35" t="s">
        <v>115</v>
      </c>
      <c r="D344" s="124"/>
      <c r="E344" s="125">
        <f>1.852*0.485</f>
        <v>0.89822000000000002</v>
      </c>
      <c r="F344" s="124" t="s">
        <v>84</v>
      </c>
      <c r="G344" s="29"/>
      <c r="H344" s="350"/>
      <c r="I344" s="45"/>
    </row>
    <row r="345" spans="3:9" x14ac:dyDescent="0.2">
      <c r="C345" s="35" t="s">
        <v>115</v>
      </c>
      <c r="D345" s="124"/>
      <c r="E345" s="125">
        <f>1.852*0.485</f>
        <v>0.89822000000000002</v>
      </c>
      <c r="F345" s="124" t="s">
        <v>84</v>
      </c>
      <c r="G345" s="29"/>
      <c r="H345" s="350"/>
      <c r="I345" s="45"/>
    </row>
    <row r="346" spans="3:9" x14ac:dyDescent="0.2">
      <c r="C346" s="35" t="s">
        <v>116</v>
      </c>
      <c r="D346" s="124"/>
      <c r="E346" s="125">
        <f>0.901*0.485</f>
        <v>0.43698500000000001</v>
      </c>
      <c r="F346" s="124" t="s">
        <v>84</v>
      </c>
      <c r="G346" s="29"/>
      <c r="H346" s="350"/>
      <c r="I346" s="45"/>
    </row>
    <row r="347" spans="3:9" x14ac:dyDescent="0.2">
      <c r="C347" s="35" t="s">
        <v>116</v>
      </c>
      <c r="D347" s="124"/>
      <c r="E347" s="125">
        <f>0.901*0.485</f>
        <v>0.43698500000000001</v>
      </c>
      <c r="F347" s="124" t="s">
        <v>84</v>
      </c>
      <c r="G347" s="29"/>
      <c r="H347" s="350"/>
      <c r="I347" s="45"/>
    </row>
    <row r="348" spans="3:9" x14ac:dyDescent="0.2">
      <c r="C348" s="35" t="s">
        <v>117</v>
      </c>
      <c r="D348" s="124"/>
      <c r="E348" s="125">
        <f>0.901*0.485</f>
        <v>0.43698500000000001</v>
      </c>
      <c r="F348" s="124" t="s">
        <v>84</v>
      </c>
      <c r="G348" s="29"/>
      <c r="H348" s="350"/>
      <c r="I348" s="45"/>
    </row>
    <row r="349" spans="3:9" x14ac:dyDescent="0.2">
      <c r="C349" s="35" t="s">
        <v>117</v>
      </c>
      <c r="D349" s="124"/>
      <c r="E349" s="125">
        <f>0.901*0.485</f>
        <v>0.43698500000000001</v>
      </c>
      <c r="F349" s="124" t="s">
        <v>84</v>
      </c>
      <c r="G349" s="29"/>
      <c r="H349" s="350"/>
      <c r="I349" s="45"/>
    </row>
    <row r="350" spans="3:9" x14ac:dyDescent="0.2">
      <c r="C350" s="35" t="s">
        <v>118</v>
      </c>
      <c r="D350" s="124"/>
      <c r="E350" s="125">
        <f>3.001*0.434</f>
        <v>1.3024339999999999</v>
      </c>
      <c r="F350" s="124" t="s">
        <v>84</v>
      </c>
      <c r="G350" s="29"/>
      <c r="H350" s="44"/>
      <c r="I350" s="45"/>
    </row>
    <row r="351" spans="3:9" x14ac:dyDescent="0.2">
      <c r="C351" s="35"/>
      <c r="D351" s="124"/>
      <c r="E351" s="125"/>
      <c r="F351" s="124"/>
      <c r="G351" s="29"/>
      <c r="H351" s="44"/>
      <c r="I351" s="45"/>
    </row>
    <row r="352" spans="3:9" x14ac:dyDescent="0.2">
      <c r="C352" s="36" t="s">
        <v>119</v>
      </c>
      <c r="D352" s="32"/>
      <c r="E352" s="38">
        <f>SUBTOTAL(9,E318:E351)</f>
        <v>22.395945999999995</v>
      </c>
      <c r="F352" s="32" t="s">
        <v>84</v>
      </c>
      <c r="G352" s="33"/>
      <c r="H352" s="44"/>
      <c r="I352" s="45"/>
    </row>
    <row r="353" spans="3:9" ht="15.75" x14ac:dyDescent="0.25">
      <c r="C353" s="101" t="s">
        <v>2</v>
      </c>
      <c r="D353" s="347" t="s">
        <v>53</v>
      </c>
      <c r="E353" s="347"/>
      <c r="F353" s="347" t="s">
        <v>54</v>
      </c>
      <c r="G353" s="347"/>
      <c r="H353" s="44"/>
      <c r="I353" s="45"/>
    </row>
    <row r="354" spans="3:9" ht="47.45" customHeight="1" x14ac:dyDescent="0.2">
      <c r="C354" s="21" t="s">
        <v>31</v>
      </c>
      <c r="D354" s="348" t="s">
        <v>33</v>
      </c>
      <c r="E354" s="348"/>
      <c r="F354" s="341" t="s">
        <v>146</v>
      </c>
      <c r="G354" s="342"/>
      <c r="H354" s="44"/>
      <c r="I354" s="45"/>
    </row>
    <row r="355" spans="3:9" x14ac:dyDescent="0.2">
      <c r="C355" s="54" t="s">
        <v>86</v>
      </c>
      <c r="D355" s="55"/>
      <c r="E355" s="40">
        <f>2.702*1.144</f>
        <v>3.0910879999999996</v>
      </c>
      <c r="F355" s="124" t="s">
        <v>84</v>
      </c>
      <c r="G355" s="34"/>
      <c r="H355" s="44"/>
      <c r="I355" s="45"/>
    </row>
    <row r="356" spans="3:9" x14ac:dyDescent="0.2">
      <c r="C356" s="35" t="s">
        <v>87</v>
      </c>
      <c r="D356" s="124"/>
      <c r="E356" s="125">
        <f>1.907*1.144</f>
        <v>2.1816079999999998</v>
      </c>
      <c r="F356" s="124" t="s">
        <v>84</v>
      </c>
      <c r="G356" s="29"/>
      <c r="H356" s="44"/>
      <c r="I356" s="45"/>
    </row>
    <row r="357" spans="3:9" x14ac:dyDescent="0.2">
      <c r="C357" s="35" t="s">
        <v>89</v>
      </c>
      <c r="D357" s="124"/>
      <c r="E357" s="125">
        <f>2.701*1.108</f>
        <v>2.9927080000000004</v>
      </c>
      <c r="F357" s="124" t="s">
        <v>84</v>
      </c>
      <c r="G357" s="29"/>
      <c r="H357" s="44"/>
      <c r="I357" s="45"/>
    </row>
    <row r="358" spans="3:9" x14ac:dyDescent="0.2">
      <c r="C358" s="35" t="s">
        <v>90</v>
      </c>
      <c r="D358" s="124"/>
      <c r="E358" s="125">
        <f>2.408*1.108</f>
        <v>2.6680640000000002</v>
      </c>
      <c r="F358" s="124" t="s">
        <v>84</v>
      </c>
      <c r="G358" s="29"/>
      <c r="H358" s="44"/>
      <c r="I358" s="45"/>
    </row>
    <row r="359" spans="3:9" x14ac:dyDescent="0.2">
      <c r="C359" s="35" t="s">
        <v>120</v>
      </c>
      <c r="D359" s="124"/>
      <c r="E359" s="125">
        <f>2.252*1.039</f>
        <v>2.3398279999999998</v>
      </c>
      <c r="F359" s="124" t="s">
        <v>84</v>
      </c>
      <c r="G359" s="29"/>
      <c r="H359" s="44"/>
      <c r="I359" s="45"/>
    </row>
    <row r="360" spans="3:9" x14ac:dyDescent="0.2">
      <c r="C360" s="35" t="s">
        <v>122</v>
      </c>
      <c r="D360" s="124"/>
      <c r="E360" s="125">
        <f>2.8*0.925</f>
        <v>2.59</v>
      </c>
      <c r="F360" s="124" t="s">
        <v>84</v>
      </c>
      <c r="G360" s="29"/>
      <c r="H360" s="44"/>
      <c r="I360" s="45"/>
    </row>
    <row r="361" spans="3:9" x14ac:dyDescent="0.2">
      <c r="C361" s="35" t="s">
        <v>123</v>
      </c>
      <c r="D361" s="124"/>
      <c r="E361" s="125">
        <f>2.598*1.144</f>
        <v>2.9721119999999996</v>
      </c>
      <c r="F361" s="124" t="s">
        <v>84</v>
      </c>
      <c r="G361" s="29"/>
      <c r="H361" s="44"/>
      <c r="I361" s="45"/>
    </row>
    <row r="362" spans="3:9" x14ac:dyDescent="0.2">
      <c r="C362" s="35" t="s">
        <v>91</v>
      </c>
      <c r="D362" s="124"/>
      <c r="E362" s="125">
        <f>2.7*1.158</f>
        <v>3.1265999999999998</v>
      </c>
      <c r="F362" s="124" t="s">
        <v>84</v>
      </c>
      <c r="G362" s="29"/>
      <c r="H362" s="44"/>
      <c r="I362" s="45"/>
    </row>
    <row r="363" spans="3:9" x14ac:dyDescent="0.2">
      <c r="C363" s="35" t="s">
        <v>92</v>
      </c>
      <c r="D363" s="124"/>
      <c r="E363" s="125">
        <f>2.7*1.158</f>
        <v>3.1265999999999998</v>
      </c>
      <c r="F363" s="124" t="s">
        <v>84</v>
      </c>
      <c r="G363" s="29"/>
      <c r="H363" s="44"/>
      <c r="I363" s="45"/>
    </row>
    <row r="364" spans="3:9" x14ac:dyDescent="0.2">
      <c r="C364" s="35" t="s">
        <v>125</v>
      </c>
      <c r="D364" s="124"/>
      <c r="E364" s="125">
        <f>2.501*0.925</f>
        <v>2.3134250000000001</v>
      </c>
      <c r="F364" s="124" t="s">
        <v>84</v>
      </c>
      <c r="G364" s="29"/>
      <c r="H364" s="44"/>
      <c r="I364" s="45"/>
    </row>
    <row r="365" spans="3:9" x14ac:dyDescent="0.2">
      <c r="C365" s="35" t="s">
        <v>126</v>
      </c>
      <c r="D365" s="124"/>
      <c r="E365" s="125">
        <f>2.618*1.363</f>
        <v>3.5683339999999997</v>
      </c>
      <c r="F365" s="124" t="s">
        <v>84</v>
      </c>
      <c r="G365" s="29"/>
      <c r="H365" s="44"/>
      <c r="I365" s="45"/>
    </row>
    <row r="366" spans="3:9" x14ac:dyDescent="0.2">
      <c r="C366" s="35" t="s">
        <v>94</v>
      </c>
      <c r="D366" s="124"/>
      <c r="E366" s="125">
        <f>2.8*1.258</f>
        <v>3.5223999999999998</v>
      </c>
      <c r="F366" s="124" t="s">
        <v>84</v>
      </c>
      <c r="G366" s="29"/>
      <c r="H366" s="44"/>
      <c r="I366" s="45"/>
    </row>
    <row r="367" spans="3:9" x14ac:dyDescent="0.2">
      <c r="C367" s="35" t="s">
        <v>95</v>
      </c>
      <c r="D367" s="124"/>
      <c r="E367" s="125">
        <f>2.8*1.258</f>
        <v>3.5223999999999998</v>
      </c>
      <c r="F367" s="124" t="s">
        <v>84</v>
      </c>
      <c r="G367" s="29"/>
      <c r="H367" s="44"/>
      <c r="I367" s="45"/>
    </row>
    <row r="368" spans="3:9" x14ac:dyDescent="0.2">
      <c r="C368" s="35" t="s">
        <v>128</v>
      </c>
      <c r="D368" s="124"/>
      <c r="E368" s="125">
        <f>2.928*1.144</f>
        <v>3.3496319999999997</v>
      </c>
      <c r="F368" s="124" t="s">
        <v>84</v>
      </c>
      <c r="G368" s="29"/>
      <c r="H368" s="44"/>
      <c r="I368" s="45"/>
    </row>
    <row r="369" spans="3:9" x14ac:dyDescent="0.2">
      <c r="C369" s="35" t="s">
        <v>129</v>
      </c>
      <c r="D369" s="124"/>
      <c r="E369" s="125">
        <f>2.928*1.144</f>
        <v>3.3496319999999997</v>
      </c>
      <c r="F369" s="124" t="s">
        <v>84</v>
      </c>
      <c r="G369" s="29"/>
      <c r="H369" s="44"/>
      <c r="I369" s="45"/>
    </row>
    <row r="370" spans="3:9" x14ac:dyDescent="0.2">
      <c r="C370" s="35" t="s">
        <v>130</v>
      </c>
      <c r="D370" s="124"/>
      <c r="E370" s="125">
        <f>2.928*1.258</f>
        <v>3.683424</v>
      </c>
      <c r="F370" s="124" t="s">
        <v>84</v>
      </c>
      <c r="G370" s="29"/>
      <c r="H370" s="44"/>
      <c r="I370" s="45"/>
    </row>
    <row r="371" spans="3:9" x14ac:dyDescent="0.2">
      <c r="C371" s="35" t="s">
        <v>131</v>
      </c>
      <c r="D371" s="124"/>
      <c r="E371" s="125">
        <f>2.462*1.258</f>
        <v>3.0971960000000003</v>
      </c>
      <c r="F371" s="124" t="s">
        <v>84</v>
      </c>
      <c r="G371" s="29"/>
      <c r="H371" s="44"/>
      <c r="I371" s="45"/>
    </row>
    <row r="372" spans="3:9" x14ac:dyDescent="0.2">
      <c r="C372" s="35" t="s">
        <v>97</v>
      </c>
      <c r="D372" s="124"/>
      <c r="E372" s="125">
        <f>2.459*1.144</f>
        <v>2.8130959999999998</v>
      </c>
      <c r="F372" s="124" t="s">
        <v>84</v>
      </c>
      <c r="G372" s="29"/>
      <c r="H372" s="44"/>
      <c r="I372" s="45"/>
    </row>
    <row r="373" spans="3:9" x14ac:dyDescent="0.2">
      <c r="C373" s="35" t="s">
        <v>98</v>
      </c>
      <c r="D373" s="124"/>
      <c r="E373" s="125">
        <f>2.391*1.144</f>
        <v>2.7353039999999997</v>
      </c>
      <c r="F373" s="124" t="s">
        <v>84</v>
      </c>
      <c r="G373" s="29"/>
      <c r="H373" s="44"/>
      <c r="I373" s="45"/>
    </row>
    <row r="374" spans="3:9" x14ac:dyDescent="0.2">
      <c r="C374" s="35" t="s">
        <v>132</v>
      </c>
      <c r="D374" s="124"/>
      <c r="E374" s="125">
        <f>3.55*0.696</f>
        <v>2.4707999999999997</v>
      </c>
      <c r="F374" s="124" t="s">
        <v>84</v>
      </c>
      <c r="G374" s="29"/>
      <c r="H374" s="44"/>
      <c r="I374" s="45"/>
    </row>
    <row r="375" spans="3:9" x14ac:dyDescent="0.2">
      <c r="C375" s="35"/>
      <c r="D375" s="124"/>
      <c r="E375" s="125"/>
      <c r="F375" s="124"/>
      <c r="G375" s="29"/>
      <c r="H375" s="44"/>
      <c r="I375" s="45"/>
    </row>
    <row r="376" spans="3:9" x14ac:dyDescent="0.2">
      <c r="C376" s="36" t="s">
        <v>8</v>
      </c>
      <c r="D376" s="32"/>
      <c r="E376" s="38">
        <f>SUBTOTAL(9,E355:E374)</f>
        <v>59.514251000000002</v>
      </c>
      <c r="F376" s="32" t="s">
        <v>84</v>
      </c>
      <c r="G376" s="33"/>
    </row>
    <row r="377" spans="3:9" ht="15.75" x14ac:dyDescent="0.25">
      <c r="C377" s="100" t="s">
        <v>2</v>
      </c>
      <c r="D377" s="343" t="s">
        <v>53</v>
      </c>
      <c r="E377" s="343"/>
      <c r="F377" s="343" t="s">
        <v>54</v>
      </c>
      <c r="G377" s="343"/>
    </row>
    <row r="378" spans="3:9" ht="40.15" customHeight="1" x14ac:dyDescent="0.2">
      <c r="C378" s="21" t="s">
        <v>34</v>
      </c>
      <c r="D378" s="348" t="s">
        <v>37</v>
      </c>
      <c r="E378" s="348"/>
      <c r="F378" s="349" t="s">
        <v>46</v>
      </c>
      <c r="G378" s="349"/>
    </row>
    <row r="379" spans="3:9" x14ac:dyDescent="0.2">
      <c r="C379" s="35" t="s">
        <v>99</v>
      </c>
      <c r="D379" s="126"/>
      <c r="E379" s="77">
        <v>1</v>
      </c>
      <c r="F379" s="78" t="s">
        <v>133</v>
      </c>
      <c r="G379" s="34"/>
    </row>
    <row r="380" spans="3:9" x14ac:dyDescent="0.2">
      <c r="C380" s="35" t="s">
        <v>102</v>
      </c>
      <c r="D380" s="124"/>
      <c r="E380" s="127">
        <v>1</v>
      </c>
      <c r="F380" s="128" t="s">
        <v>133</v>
      </c>
      <c r="G380" s="29"/>
    </row>
    <row r="381" spans="3:9" x14ac:dyDescent="0.2">
      <c r="C381" s="35" t="s">
        <v>105</v>
      </c>
      <c r="D381" s="124"/>
      <c r="E381" s="351">
        <v>1</v>
      </c>
      <c r="F381" s="352" t="s">
        <v>133</v>
      </c>
      <c r="G381" s="29"/>
      <c r="H381" s="353"/>
    </row>
    <row r="382" spans="3:9" x14ac:dyDescent="0.2">
      <c r="C382" s="35" t="s">
        <v>105</v>
      </c>
      <c r="D382" s="124"/>
      <c r="E382" s="351"/>
      <c r="F382" s="352"/>
      <c r="G382" s="29"/>
      <c r="H382" s="353"/>
    </row>
    <row r="383" spans="3:9" x14ac:dyDescent="0.2">
      <c r="C383" s="35" t="s">
        <v>106</v>
      </c>
      <c r="D383" s="124"/>
      <c r="E383" s="351">
        <v>1</v>
      </c>
      <c r="F383" s="354" t="s">
        <v>163</v>
      </c>
      <c r="G383" s="29"/>
      <c r="H383" s="353"/>
    </row>
    <row r="384" spans="3:9" x14ac:dyDescent="0.2">
      <c r="C384" s="35" t="s">
        <v>106</v>
      </c>
      <c r="D384" s="124"/>
      <c r="E384" s="351"/>
      <c r="F384" s="354"/>
      <c r="G384" s="29"/>
      <c r="H384" s="353"/>
    </row>
    <row r="385" spans="3:8" x14ac:dyDescent="0.2">
      <c r="C385" s="35" t="s">
        <v>107</v>
      </c>
      <c r="D385" s="124"/>
      <c r="E385" s="351">
        <v>1</v>
      </c>
      <c r="F385" s="354" t="s">
        <v>163</v>
      </c>
      <c r="G385" s="29"/>
      <c r="H385" s="353"/>
    </row>
    <row r="386" spans="3:8" x14ac:dyDescent="0.2">
      <c r="C386" s="35" t="s">
        <v>107</v>
      </c>
      <c r="D386" s="124"/>
      <c r="E386" s="351"/>
      <c r="F386" s="354"/>
      <c r="G386" s="29"/>
      <c r="H386" s="353"/>
    </row>
    <row r="387" spans="3:8" x14ac:dyDescent="0.2">
      <c r="C387" s="35" t="s">
        <v>108</v>
      </c>
      <c r="D387" s="124"/>
      <c r="E387" s="351">
        <v>1</v>
      </c>
      <c r="F387" s="354" t="s">
        <v>163</v>
      </c>
      <c r="G387" s="29"/>
      <c r="H387" s="353"/>
    </row>
    <row r="388" spans="3:8" x14ac:dyDescent="0.2">
      <c r="C388" s="35" t="s">
        <v>108</v>
      </c>
      <c r="D388" s="124"/>
      <c r="E388" s="351"/>
      <c r="F388" s="354"/>
      <c r="G388" s="29"/>
      <c r="H388" s="353"/>
    </row>
    <row r="389" spans="3:8" x14ac:dyDescent="0.2">
      <c r="C389" s="35" t="s">
        <v>109</v>
      </c>
      <c r="D389" s="124"/>
      <c r="E389" s="351">
        <v>1</v>
      </c>
      <c r="F389" s="354" t="s">
        <v>163</v>
      </c>
      <c r="G389" s="29"/>
      <c r="H389" s="353"/>
    </row>
    <row r="390" spans="3:8" x14ac:dyDescent="0.2">
      <c r="C390" s="35" t="s">
        <v>109</v>
      </c>
      <c r="D390" s="124"/>
      <c r="E390" s="351"/>
      <c r="F390" s="354"/>
      <c r="G390" s="29"/>
      <c r="H390" s="353"/>
    </row>
    <row r="391" spans="3:8" x14ac:dyDescent="0.2">
      <c r="C391" s="35" t="s">
        <v>110</v>
      </c>
      <c r="D391" s="124"/>
      <c r="E391" s="351">
        <v>1</v>
      </c>
      <c r="F391" s="354" t="s">
        <v>163</v>
      </c>
      <c r="G391" s="29"/>
      <c r="H391" s="353"/>
    </row>
    <row r="392" spans="3:8" x14ac:dyDescent="0.2">
      <c r="C392" s="35" t="s">
        <v>110</v>
      </c>
      <c r="D392" s="124"/>
      <c r="E392" s="351"/>
      <c r="F392" s="354"/>
      <c r="G392" s="29"/>
      <c r="H392" s="353"/>
    </row>
    <row r="393" spans="3:8" x14ac:dyDescent="0.2">
      <c r="C393" s="35" t="s">
        <v>111</v>
      </c>
      <c r="D393" s="124"/>
      <c r="E393" s="127">
        <v>1</v>
      </c>
      <c r="F393" s="128" t="s">
        <v>133</v>
      </c>
      <c r="G393" s="29"/>
    </row>
    <row r="394" spans="3:8" x14ac:dyDescent="0.2">
      <c r="C394" s="35" t="s">
        <v>112</v>
      </c>
      <c r="D394" s="124"/>
      <c r="E394" s="127">
        <v>1</v>
      </c>
      <c r="F394" s="128" t="s">
        <v>133</v>
      </c>
      <c r="G394" s="29"/>
    </row>
    <row r="395" spans="3:8" x14ac:dyDescent="0.2">
      <c r="C395" s="35" t="s">
        <v>113</v>
      </c>
      <c r="D395" s="124"/>
      <c r="E395" s="127">
        <v>1</v>
      </c>
      <c r="F395" s="127" t="s">
        <v>133</v>
      </c>
      <c r="G395" s="29"/>
      <c r="H395" s="353"/>
    </row>
    <row r="396" spans="3:8" x14ac:dyDescent="0.2">
      <c r="C396" s="35" t="s">
        <v>114</v>
      </c>
      <c r="D396" s="124"/>
      <c r="E396" s="354">
        <v>1</v>
      </c>
      <c r="F396" s="354" t="s">
        <v>163</v>
      </c>
      <c r="G396" s="29"/>
      <c r="H396" s="353"/>
    </row>
    <row r="397" spans="3:8" x14ac:dyDescent="0.2">
      <c r="C397" s="35" t="s">
        <v>114</v>
      </c>
      <c r="D397" s="124"/>
      <c r="E397" s="354"/>
      <c r="F397" s="354"/>
      <c r="G397" s="29"/>
      <c r="H397" s="353"/>
    </row>
    <row r="398" spans="3:8" x14ac:dyDescent="0.2">
      <c r="C398" s="35" t="s">
        <v>115</v>
      </c>
      <c r="D398" s="124"/>
      <c r="E398" s="354">
        <v>1</v>
      </c>
      <c r="F398" s="354" t="s">
        <v>163</v>
      </c>
      <c r="G398" s="29"/>
      <c r="H398" s="353"/>
    </row>
    <row r="399" spans="3:8" x14ac:dyDescent="0.2">
      <c r="C399" s="35" t="s">
        <v>115</v>
      </c>
      <c r="D399" s="124"/>
      <c r="E399" s="354"/>
      <c r="F399" s="354"/>
      <c r="G399" s="29"/>
    </row>
    <row r="400" spans="3:8" x14ac:dyDescent="0.2">
      <c r="C400" s="35" t="s">
        <v>116</v>
      </c>
      <c r="D400" s="124"/>
      <c r="E400" s="354">
        <v>1</v>
      </c>
      <c r="F400" s="354" t="s">
        <v>163</v>
      </c>
      <c r="G400" s="29"/>
      <c r="H400" s="353"/>
    </row>
    <row r="401" spans="3:8" x14ac:dyDescent="0.2">
      <c r="C401" s="35" t="s">
        <v>116</v>
      </c>
      <c r="D401" s="124"/>
      <c r="E401" s="354"/>
      <c r="F401" s="354"/>
      <c r="G401" s="29"/>
      <c r="H401" s="353"/>
    </row>
    <row r="402" spans="3:8" x14ac:dyDescent="0.2">
      <c r="C402" s="35" t="s">
        <v>117</v>
      </c>
      <c r="D402" s="124"/>
      <c r="E402" s="354">
        <v>1</v>
      </c>
      <c r="F402" s="354" t="s">
        <v>163</v>
      </c>
      <c r="G402" s="29"/>
      <c r="H402" s="353"/>
    </row>
    <row r="403" spans="3:8" x14ac:dyDescent="0.2">
      <c r="C403" s="35" t="s">
        <v>117</v>
      </c>
      <c r="D403" s="124"/>
      <c r="E403" s="354"/>
      <c r="F403" s="354"/>
      <c r="G403" s="29"/>
      <c r="H403" s="353"/>
    </row>
    <row r="404" spans="3:8" x14ac:dyDescent="0.2">
      <c r="C404" s="35"/>
      <c r="D404" s="124"/>
      <c r="E404" s="128"/>
      <c r="F404" s="128"/>
      <c r="G404" s="29"/>
    </row>
    <row r="405" spans="3:8" x14ac:dyDescent="0.2">
      <c r="C405" s="36" t="s">
        <v>8</v>
      </c>
      <c r="D405" s="32"/>
      <c r="E405" s="79">
        <f>SUBTOTAL(9,E379:E403)</f>
        <v>15</v>
      </c>
      <c r="F405" s="80" t="s">
        <v>133</v>
      </c>
      <c r="G405" s="33"/>
    </row>
    <row r="406" spans="3:8" ht="15.75" x14ac:dyDescent="0.25">
      <c r="C406" s="100" t="s">
        <v>2</v>
      </c>
      <c r="D406" s="343" t="s">
        <v>53</v>
      </c>
      <c r="E406" s="343"/>
      <c r="F406" s="343" t="s">
        <v>54</v>
      </c>
      <c r="G406" s="343"/>
    </row>
    <row r="407" spans="3:8" ht="40.15" customHeight="1" x14ac:dyDescent="0.2">
      <c r="C407" s="21" t="s">
        <v>35</v>
      </c>
      <c r="D407" s="348" t="s">
        <v>38</v>
      </c>
      <c r="E407" s="348"/>
      <c r="F407" s="349" t="s">
        <v>48</v>
      </c>
      <c r="G407" s="349"/>
    </row>
    <row r="408" spans="3:8" x14ac:dyDescent="0.2">
      <c r="C408" s="35" t="s">
        <v>101</v>
      </c>
      <c r="D408" s="55"/>
      <c r="E408" s="40">
        <v>1</v>
      </c>
      <c r="F408" s="55" t="s">
        <v>133</v>
      </c>
      <c r="G408" s="34"/>
    </row>
    <row r="409" spans="3:8" x14ac:dyDescent="0.2">
      <c r="C409" s="35" t="s">
        <v>101</v>
      </c>
      <c r="D409" s="124"/>
      <c r="E409" s="125">
        <v>1</v>
      </c>
      <c r="F409" s="124" t="s">
        <v>133</v>
      </c>
      <c r="G409" s="29"/>
    </row>
    <row r="410" spans="3:8" x14ac:dyDescent="0.2">
      <c r="C410" s="35"/>
      <c r="D410" s="124"/>
      <c r="E410" s="124"/>
      <c r="F410" s="124"/>
      <c r="G410" s="29"/>
    </row>
    <row r="411" spans="3:8" x14ac:dyDescent="0.2">
      <c r="C411" s="36" t="s">
        <v>8</v>
      </c>
      <c r="D411" s="32"/>
      <c r="E411" s="38">
        <f>SUBTOTAL(9,E408:E409)</f>
        <v>2</v>
      </c>
      <c r="F411" s="32" t="s">
        <v>133</v>
      </c>
      <c r="G411" s="33"/>
    </row>
    <row r="412" spans="3:8" ht="15.75" x14ac:dyDescent="0.25">
      <c r="C412" s="100" t="s">
        <v>2</v>
      </c>
      <c r="D412" s="343" t="s">
        <v>53</v>
      </c>
      <c r="E412" s="343"/>
      <c r="F412" s="343" t="s">
        <v>54</v>
      </c>
      <c r="G412" s="343"/>
    </row>
    <row r="413" spans="3:8" ht="40.15" customHeight="1" x14ac:dyDescent="0.2">
      <c r="C413" s="21" t="s">
        <v>36</v>
      </c>
      <c r="D413" s="348" t="s">
        <v>39</v>
      </c>
      <c r="E413" s="348"/>
      <c r="F413" s="349" t="s">
        <v>49</v>
      </c>
      <c r="G413" s="349"/>
    </row>
    <row r="414" spans="3:8" x14ac:dyDescent="0.2">
      <c r="C414" s="35" t="s">
        <v>126</v>
      </c>
      <c r="D414" s="55"/>
      <c r="E414" s="40">
        <v>1</v>
      </c>
      <c r="F414" s="55" t="s">
        <v>133</v>
      </c>
      <c r="G414" s="34"/>
    </row>
    <row r="415" spans="3:8" x14ac:dyDescent="0.2">
      <c r="C415" s="35" t="s">
        <v>128</v>
      </c>
      <c r="D415" s="124"/>
      <c r="E415" s="125">
        <v>1</v>
      </c>
      <c r="F415" s="124" t="s">
        <v>133</v>
      </c>
      <c r="G415" s="29"/>
    </row>
    <row r="416" spans="3:8" x14ac:dyDescent="0.2">
      <c r="C416" s="35" t="s">
        <v>129</v>
      </c>
      <c r="D416" s="124"/>
      <c r="E416" s="125">
        <v>1</v>
      </c>
      <c r="F416" s="124" t="s">
        <v>133</v>
      </c>
      <c r="G416" s="29"/>
    </row>
    <row r="417" spans="3:7" x14ac:dyDescent="0.2">
      <c r="C417" s="35"/>
      <c r="D417" s="124"/>
      <c r="E417" s="125"/>
      <c r="F417" s="124"/>
      <c r="G417" s="29"/>
    </row>
    <row r="418" spans="3:7" x14ac:dyDescent="0.2">
      <c r="C418" s="36" t="s">
        <v>8</v>
      </c>
      <c r="D418" s="32"/>
      <c r="E418" s="38">
        <f>SUBTOTAL(9,E414:E416)</f>
        <v>3</v>
      </c>
      <c r="F418" s="32" t="s">
        <v>133</v>
      </c>
      <c r="G418" s="33"/>
    </row>
    <row r="419" spans="3:7" ht="15.75" x14ac:dyDescent="0.25">
      <c r="C419" s="100" t="s">
        <v>2</v>
      </c>
      <c r="D419" s="343" t="s">
        <v>53</v>
      </c>
      <c r="E419" s="343"/>
      <c r="F419" s="343" t="s">
        <v>54</v>
      </c>
      <c r="G419" s="343"/>
    </row>
    <row r="420" spans="3:7" ht="40.15" customHeight="1" x14ac:dyDescent="0.2">
      <c r="C420" s="21" t="s">
        <v>43</v>
      </c>
      <c r="D420" s="345" t="s">
        <v>40</v>
      </c>
      <c r="E420" s="345"/>
      <c r="F420" s="355" t="s">
        <v>50</v>
      </c>
      <c r="G420" s="355"/>
    </row>
    <row r="421" spans="3:7" x14ac:dyDescent="0.2">
      <c r="C421" s="35" t="s">
        <v>120</v>
      </c>
      <c r="D421" s="55"/>
      <c r="E421" s="40">
        <v>1</v>
      </c>
      <c r="F421" s="55" t="s">
        <v>133</v>
      </c>
      <c r="G421" s="34"/>
    </row>
    <row r="422" spans="3:7" x14ac:dyDescent="0.2">
      <c r="C422" s="35" t="s">
        <v>122</v>
      </c>
      <c r="D422" s="124"/>
      <c r="E422" s="125">
        <v>1</v>
      </c>
      <c r="F422" s="124" t="s">
        <v>133</v>
      </c>
      <c r="G422" s="29"/>
    </row>
    <row r="423" spans="3:7" x14ac:dyDescent="0.2">
      <c r="C423" s="35" t="s">
        <v>130</v>
      </c>
      <c r="D423" s="124"/>
      <c r="E423" s="125">
        <v>1</v>
      </c>
      <c r="F423" s="124" t="s">
        <v>133</v>
      </c>
      <c r="G423" s="29"/>
    </row>
    <row r="424" spans="3:7" x14ac:dyDescent="0.2">
      <c r="C424" s="35" t="s">
        <v>131</v>
      </c>
      <c r="D424" s="124"/>
      <c r="E424" s="125">
        <v>1</v>
      </c>
      <c r="F424" s="124" t="s">
        <v>133</v>
      </c>
      <c r="G424" s="29"/>
    </row>
    <row r="425" spans="3:7" x14ac:dyDescent="0.2">
      <c r="C425" s="35"/>
      <c r="D425" s="124"/>
      <c r="E425" s="124"/>
      <c r="F425" s="124"/>
      <c r="G425" s="29"/>
    </row>
    <row r="426" spans="3:7" x14ac:dyDescent="0.2">
      <c r="C426" s="36" t="s">
        <v>8</v>
      </c>
      <c r="D426" s="32"/>
      <c r="E426" s="38">
        <f>SUBTOTAL(9,E421:E424)</f>
        <v>4</v>
      </c>
      <c r="F426" s="32" t="s">
        <v>133</v>
      </c>
      <c r="G426" s="33"/>
    </row>
    <row r="427" spans="3:7" ht="15.75" x14ac:dyDescent="0.25">
      <c r="C427" s="100" t="s">
        <v>2</v>
      </c>
      <c r="D427" s="343" t="s">
        <v>53</v>
      </c>
      <c r="E427" s="343"/>
      <c r="F427" s="343" t="s">
        <v>54</v>
      </c>
      <c r="G427" s="343"/>
    </row>
    <row r="428" spans="3:7" ht="40.15" customHeight="1" x14ac:dyDescent="0.2">
      <c r="C428" s="21" t="s">
        <v>44</v>
      </c>
      <c r="D428" s="348" t="s">
        <v>41</v>
      </c>
      <c r="E428" s="348"/>
      <c r="F428" s="349" t="s">
        <v>51</v>
      </c>
      <c r="G428" s="349"/>
    </row>
    <row r="429" spans="3:7" x14ac:dyDescent="0.2">
      <c r="C429" s="35" t="s">
        <v>123</v>
      </c>
      <c r="D429" s="55"/>
      <c r="E429" s="40">
        <v>1</v>
      </c>
      <c r="F429" s="55" t="s">
        <v>133</v>
      </c>
      <c r="G429" s="34"/>
    </row>
    <row r="430" spans="3:7" x14ac:dyDescent="0.2">
      <c r="C430" s="35" t="s">
        <v>125</v>
      </c>
      <c r="D430" s="124"/>
      <c r="E430" s="125">
        <v>1</v>
      </c>
      <c r="F430" s="124" t="s">
        <v>133</v>
      </c>
      <c r="G430" s="29"/>
    </row>
    <row r="431" spans="3:7" x14ac:dyDescent="0.2">
      <c r="C431" s="35"/>
      <c r="D431" s="124"/>
      <c r="E431" s="124"/>
      <c r="F431" s="124"/>
      <c r="G431" s="29"/>
    </row>
    <row r="432" spans="3:7" x14ac:dyDescent="0.2">
      <c r="C432" s="36" t="s">
        <v>8</v>
      </c>
      <c r="D432" s="32"/>
      <c r="E432" s="38">
        <f>SUBTOTAL(9,E429:E430)</f>
        <v>2</v>
      </c>
      <c r="F432" s="32" t="s">
        <v>133</v>
      </c>
      <c r="G432" s="33"/>
    </row>
    <row r="433" spans="3:8" ht="15.75" x14ac:dyDescent="0.25">
      <c r="C433" s="100" t="s">
        <v>2</v>
      </c>
      <c r="D433" s="343" t="s">
        <v>53</v>
      </c>
      <c r="E433" s="343"/>
      <c r="F433" s="343" t="s">
        <v>54</v>
      </c>
      <c r="G433" s="343"/>
    </row>
    <row r="434" spans="3:8" ht="40.15" customHeight="1" x14ac:dyDescent="0.2">
      <c r="C434" s="21" t="s">
        <v>45</v>
      </c>
      <c r="D434" s="348" t="s">
        <v>42</v>
      </c>
      <c r="E434" s="348"/>
      <c r="F434" s="349" t="s">
        <v>52</v>
      </c>
      <c r="G434" s="349"/>
    </row>
    <row r="435" spans="3:8" x14ac:dyDescent="0.2">
      <c r="C435" s="54" t="s">
        <v>103</v>
      </c>
      <c r="D435" s="55"/>
      <c r="E435" s="40">
        <v>1</v>
      </c>
      <c r="F435" s="55" t="s">
        <v>133</v>
      </c>
      <c r="G435" s="34"/>
    </row>
    <row r="436" spans="3:8" x14ac:dyDescent="0.2">
      <c r="C436" s="35" t="s">
        <v>132</v>
      </c>
      <c r="D436" s="124"/>
      <c r="E436" s="125">
        <v>1</v>
      </c>
      <c r="F436" s="124" t="s">
        <v>133</v>
      </c>
      <c r="G436" s="29"/>
    </row>
    <row r="437" spans="3:8" x14ac:dyDescent="0.2">
      <c r="C437" s="35" t="s">
        <v>118</v>
      </c>
      <c r="D437" s="124"/>
      <c r="E437" s="125">
        <v>1</v>
      </c>
      <c r="F437" s="124" t="s">
        <v>133</v>
      </c>
      <c r="G437" s="29"/>
    </row>
    <row r="438" spans="3:8" x14ac:dyDescent="0.2">
      <c r="C438" s="35"/>
      <c r="D438" s="124"/>
      <c r="E438" s="124"/>
      <c r="F438" s="124"/>
      <c r="G438" s="29"/>
    </row>
    <row r="439" spans="3:8" x14ac:dyDescent="0.2">
      <c r="C439" s="36" t="s">
        <v>8</v>
      </c>
      <c r="D439" s="32"/>
      <c r="E439" s="38">
        <f>SUBTOTAL(9,E435:E437)</f>
        <v>3</v>
      </c>
      <c r="F439" s="32" t="s">
        <v>133</v>
      </c>
      <c r="G439" s="33"/>
    </row>
    <row r="440" spans="3:8" x14ac:dyDescent="0.2">
      <c r="F440" s="124"/>
    </row>
    <row r="441" spans="3:8" x14ac:dyDescent="0.2">
      <c r="F441" s="124"/>
      <c r="G441" s="129"/>
      <c r="H441" s="129"/>
    </row>
    <row r="442" spans="3:8" x14ac:dyDescent="0.2">
      <c r="G442" s="109"/>
      <c r="H442" s="109"/>
    </row>
    <row r="443" spans="3:8" x14ac:dyDescent="0.2">
      <c r="F443" s="99" t="s">
        <v>173</v>
      </c>
      <c r="G443" s="109"/>
      <c r="H443" s="109"/>
    </row>
    <row r="444" spans="3:8" x14ac:dyDescent="0.2">
      <c r="F444" s="98" t="s">
        <v>171</v>
      </c>
    </row>
    <row r="445" spans="3:8" x14ac:dyDescent="0.2">
      <c r="F445" s="98" t="s">
        <v>172</v>
      </c>
    </row>
  </sheetData>
  <mergeCells count="170">
    <mergeCell ref="C6:G6"/>
    <mergeCell ref="D434:E434"/>
    <mergeCell ref="F434:G434"/>
    <mergeCell ref="D427:E427"/>
    <mergeCell ref="F427:G427"/>
    <mergeCell ref="D428:E428"/>
    <mergeCell ref="F428:G428"/>
    <mergeCell ref="D433:E433"/>
    <mergeCell ref="F433:G433"/>
    <mergeCell ref="D413:E413"/>
    <mergeCell ref="F413:G413"/>
    <mergeCell ref="D419:E419"/>
    <mergeCell ref="F419:G419"/>
    <mergeCell ref="D420:E420"/>
    <mergeCell ref="F420:G420"/>
    <mergeCell ref="D406:E406"/>
    <mergeCell ref="F406:G406"/>
    <mergeCell ref="D407:E407"/>
    <mergeCell ref="F407:G407"/>
    <mergeCell ref="D412:E412"/>
    <mergeCell ref="F412:G412"/>
    <mergeCell ref="E400:E401"/>
    <mergeCell ref="F400:F401"/>
    <mergeCell ref="E389:E390"/>
    <mergeCell ref="H400:H401"/>
    <mergeCell ref="E402:E403"/>
    <mergeCell ref="F402:F403"/>
    <mergeCell ref="H402:H403"/>
    <mergeCell ref="H395:H396"/>
    <mergeCell ref="E396:E397"/>
    <mergeCell ref="F396:F397"/>
    <mergeCell ref="H397:H398"/>
    <mergeCell ref="E398:E399"/>
    <mergeCell ref="F398:F399"/>
    <mergeCell ref="F389:F390"/>
    <mergeCell ref="H389:H390"/>
    <mergeCell ref="E391:E392"/>
    <mergeCell ref="F391:F392"/>
    <mergeCell ref="H391:H392"/>
    <mergeCell ref="E385:E386"/>
    <mergeCell ref="F385:F386"/>
    <mergeCell ref="H385:H386"/>
    <mergeCell ref="E387:E388"/>
    <mergeCell ref="F387:F388"/>
    <mergeCell ref="H387:H388"/>
    <mergeCell ref="E381:E382"/>
    <mergeCell ref="F381:F382"/>
    <mergeCell ref="H381:H382"/>
    <mergeCell ref="E383:E384"/>
    <mergeCell ref="F383:F384"/>
    <mergeCell ref="H383:H384"/>
    <mergeCell ref="D354:E354"/>
    <mergeCell ref="F354:G354"/>
    <mergeCell ref="D377:E377"/>
    <mergeCell ref="F377:G377"/>
    <mergeCell ref="D378:E378"/>
    <mergeCell ref="F378:G378"/>
    <mergeCell ref="H342:H343"/>
    <mergeCell ref="H344:H345"/>
    <mergeCell ref="H346:H347"/>
    <mergeCell ref="H348:H349"/>
    <mergeCell ref="D353:E353"/>
    <mergeCell ref="F353:G353"/>
    <mergeCell ref="H327:H328"/>
    <mergeCell ref="H329:H330"/>
    <mergeCell ref="H331:H332"/>
    <mergeCell ref="H333:H334"/>
    <mergeCell ref="H335:H336"/>
    <mergeCell ref="H337:H338"/>
    <mergeCell ref="D299:E299"/>
    <mergeCell ref="F299:G299"/>
    <mergeCell ref="D316:E316"/>
    <mergeCell ref="F316:G316"/>
    <mergeCell ref="D317:E317"/>
    <mergeCell ref="F317:G317"/>
    <mergeCell ref="C290:G290"/>
    <mergeCell ref="C295:G295"/>
    <mergeCell ref="C296:F296"/>
    <mergeCell ref="D298:E298"/>
    <mergeCell ref="F298:G298"/>
    <mergeCell ref="C278:G278"/>
    <mergeCell ref="C283:G283"/>
    <mergeCell ref="C284:G284"/>
    <mergeCell ref="C289:G289"/>
    <mergeCell ref="C266:G266"/>
    <mergeCell ref="C271:G271"/>
    <mergeCell ref="C272:G272"/>
    <mergeCell ref="C277:G277"/>
    <mergeCell ref="C254:G254"/>
    <mergeCell ref="C259:G259"/>
    <mergeCell ref="C260:G260"/>
    <mergeCell ref="C265:G265"/>
    <mergeCell ref="D246:E246"/>
    <mergeCell ref="F246:G246"/>
    <mergeCell ref="C247:G247"/>
    <mergeCell ref="C248:G248"/>
    <mergeCell ref="C253:G253"/>
    <mergeCell ref="C232:G232"/>
    <mergeCell ref="C238:G238"/>
    <mergeCell ref="C239:F239"/>
    <mergeCell ref="D245:E245"/>
    <mergeCell ref="F245:G245"/>
    <mergeCell ref="C221:G221"/>
    <mergeCell ref="C226:G226"/>
    <mergeCell ref="C200:G200"/>
    <mergeCell ref="C206:G206"/>
    <mergeCell ref="C212:G212"/>
    <mergeCell ref="C187:G187"/>
    <mergeCell ref="C192:D192"/>
    <mergeCell ref="C193:D193"/>
    <mergeCell ref="C213:G213"/>
    <mergeCell ref="C218:D218"/>
    <mergeCell ref="C219:D219"/>
    <mergeCell ref="C62:G62"/>
    <mergeCell ref="C67:G67"/>
    <mergeCell ref="C40:G40"/>
    <mergeCell ref="C186:G186"/>
    <mergeCell ref="C195:G195"/>
    <mergeCell ref="C169:G169"/>
    <mergeCell ref="C174:G174"/>
    <mergeCell ref="C180:G180"/>
    <mergeCell ref="C153:G153"/>
    <mergeCell ref="C159:G159"/>
    <mergeCell ref="C142:G142"/>
    <mergeCell ref="C147:G147"/>
    <mergeCell ref="C160:G160"/>
    <mergeCell ref="C166:D166"/>
    <mergeCell ref="C167:D167"/>
    <mergeCell ref="C139:D139"/>
    <mergeCell ref="C140:D140"/>
    <mergeCell ref="C88:G88"/>
    <mergeCell ref="C93:G93"/>
    <mergeCell ref="C99:G99"/>
    <mergeCell ref="C73:G73"/>
    <mergeCell ref="C79:G79"/>
    <mergeCell ref="C80:G80"/>
    <mergeCell ref="C85:D85"/>
    <mergeCell ref="C86:D86"/>
    <mergeCell ref="C120:G120"/>
    <mergeCell ref="C126:G126"/>
    <mergeCell ref="C132:G132"/>
    <mergeCell ref="C105:G105"/>
    <mergeCell ref="C115:G115"/>
    <mergeCell ref="C106:G106"/>
    <mergeCell ref="C112:D112"/>
    <mergeCell ref="C113:D113"/>
    <mergeCell ref="C133:G133"/>
    <mergeCell ref="C41:E41"/>
    <mergeCell ref="C46:G46"/>
    <mergeCell ref="C52:G52"/>
    <mergeCell ref="C59:D59"/>
    <mergeCell ref="C60:D60"/>
    <mergeCell ref="D12:E12"/>
    <mergeCell ref="F12:G12"/>
    <mergeCell ref="D13:E13"/>
    <mergeCell ref="F13:G13"/>
    <mergeCell ref="D17:E17"/>
    <mergeCell ref="F17:G17"/>
    <mergeCell ref="C25:G25"/>
    <mergeCell ref="C32:D32"/>
    <mergeCell ref="C53:G53"/>
    <mergeCell ref="C34:G34"/>
    <mergeCell ref="D18:E18"/>
    <mergeCell ref="F18:G18"/>
    <mergeCell ref="D23:E23"/>
    <mergeCell ref="F23:G23"/>
    <mergeCell ref="D24:E24"/>
    <mergeCell ref="F24:G24"/>
    <mergeCell ref="C26:G26"/>
    <mergeCell ref="C31:D3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3" orientation="portrait" r:id="rId1"/>
  <rowBreaks count="8" manualBreakCount="8">
    <brk id="45" min="2" max="6" man="1"/>
    <brk id="92" min="2" max="6" man="1"/>
    <brk id="141" min="2" max="6" man="1"/>
    <brk id="185" min="2" max="6" man="1"/>
    <brk id="237" min="2" max="6" man="1"/>
    <brk id="282" min="2" max="6" man="1"/>
    <brk id="376" min="2" max="6" man="1"/>
    <brk id="418" min="2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2BC99-5F21-4058-B34A-F53E1739E5FF}">
  <dimension ref="C3:S32"/>
  <sheetViews>
    <sheetView showGridLines="0" zoomScale="85" zoomScaleNormal="85" workbookViewId="0">
      <selection activeCell="E30" sqref="E30"/>
    </sheetView>
  </sheetViews>
  <sheetFormatPr defaultRowHeight="15" x14ac:dyDescent="0.25"/>
  <cols>
    <col min="3" max="3" width="7.28515625" customWidth="1"/>
    <col min="4" max="4" width="12.5703125" style="47" bestFit="1" customWidth="1"/>
    <col min="5" max="5" width="11.140625" style="47" bestFit="1" customWidth="1"/>
    <col min="7" max="7" width="11.140625" style="46" customWidth="1"/>
    <col min="10" max="10" width="12.5703125" bestFit="1" customWidth="1"/>
    <col min="11" max="11" width="11.140625" bestFit="1" customWidth="1"/>
    <col min="13" max="13" width="11.5703125" style="57" customWidth="1"/>
    <col min="17" max="17" width="12.7109375" bestFit="1" customWidth="1"/>
    <col min="18" max="18" width="11.140625" bestFit="1" customWidth="1"/>
  </cols>
  <sheetData>
    <row r="3" spans="3:19" x14ac:dyDescent="0.25">
      <c r="C3" s="358" t="s">
        <v>148</v>
      </c>
      <c r="D3" s="359"/>
      <c r="E3" s="359"/>
      <c r="F3" s="359"/>
      <c r="G3" s="360"/>
      <c r="I3" s="358" t="s">
        <v>148</v>
      </c>
      <c r="J3" s="359"/>
      <c r="K3" s="359"/>
      <c r="L3" s="359"/>
      <c r="M3" s="360"/>
      <c r="P3" s="361" t="s">
        <v>144</v>
      </c>
      <c r="Q3" s="361"/>
      <c r="R3" s="361"/>
      <c r="S3" s="361"/>
    </row>
    <row r="4" spans="3:19" s="46" customFormat="1" x14ac:dyDescent="0.25">
      <c r="C4" s="48" t="s">
        <v>137</v>
      </c>
      <c r="D4" s="49" t="s">
        <v>138</v>
      </c>
      <c r="E4" s="49" t="s">
        <v>139</v>
      </c>
      <c r="F4" s="48" t="s">
        <v>84</v>
      </c>
      <c r="G4" s="48" t="s">
        <v>140</v>
      </c>
      <c r="I4" s="48" t="s">
        <v>137</v>
      </c>
      <c r="J4" s="49" t="s">
        <v>138</v>
      </c>
      <c r="K4" s="49" t="s">
        <v>139</v>
      </c>
      <c r="L4" s="48" t="s">
        <v>84</v>
      </c>
      <c r="M4" s="48" t="s">
        <v>140</v>
      </c>
      <c r="P4" s="48" t="s">
        <v>137</v>
      </c>
      <c r="Q4" s="49" t="s">
        <v>138</v>
      </c>
      <c r="R4" s="49" t="s">
        <v>139</v>
      </c>
      <c r="S4" s="48" t="s">
        <v>84</v>
      </c>
    </row>
    <row r="5" spans="3:19" ht="15.75" x14ac:dyDescent="0.25">
      <c r="C5" s="50" t="s">
        <v>86</v>
      </c>
      <c r="D5" s="51">
        <v>2.702</v>
      </c>
      <c r="E5" s="51">
        <v>1.1439999999999999</v>
      </c>
      <c r="F5" s="51">
        <f>E5*D5</f>
        <v>3.0910879999999996</v>
      </c>
      <c r="G5" s="48" t="s">
        <v>141</v>
      </c>
      <c r="I5" s="50" t="s">
        <v>98</v>
      </c>
      <c r="J5" s="51">
        <v>2.391</v>
      </c>
      <c r="K5" s="51">
        <v>1.1439999999999999</v>
      </c>
      <c r="L5" s="51">
        <f t="shared" ref="L5:L31" si="0">K5*J5</f>
        <v>2.7353039999999997</v>
      </c>
      <c r="M5" s="48" t="s">
        <v>141</v>
      </c>
      <c r="P5" s="52" t="s">
        <v>86</v>
      </c>
      <c r="Q5" s="50">
        <v>2.75</v>
      </c>
      <c r="R5" s="50">
        <v>1.25</v>
      </c>
      <c r="S5" s="51">
        <f>R5*Q5</f>
        <v>3.4375</v>
      </c>
    </row>
    <row r="6" spans="3:19" ht="15.75" x14ac:dyDescent="0.25">
      <c r="C6" s="50" t="s">
        <v>87</v>
      </c>
      <c r="D6" s="51">
        <v>1.907</v>
      </c>
      <c r="E6" s="51">
        <v>1.1439999999999999</v>
      </c>
      <c r="F6" s="51">
        <f t="shared" ref="F6:F30" si="1">E6*D6</f>
        <v>2.1816079999999998</v>
      </c>
      <c r="G6" s="48" t="s">
        <v>141</v>
      </c>
      <c r="I6" s="50" t="s">
        <v>103</v>
      </c>
      <c r="J6" s="51">
        <v>2.153</v>
      </c>
      <c r="K6" s="51">
        <v>0.59199999999999997</v>
      </c>
      <c r="L6" s="51">
        <f t="shared" si="0"/>
        <v>1.2745759999999999</v>
      </c>
      <c r="M6" s="48" t="s">
        <v>104</v>
      </c>
      <c r="P6" s="52" t="s">
        <v>87</v>
      </c>
      <c r="Q6" s="50">
        <v>2.7</v>
      </c>
      <c r="R6" s="50">
        <v>1.25</v>
      </c>
      <c r="S6" s="51">
        <f t="shared" ref="S6:S18" si="2">R6*Q6</f>
        <v>3.375</v>
      </c>
    </row>
    <row r="7" spans="3:19" ht="15.75" x14ac:dyDescent="0.25">
      <c r="C7" s="50" t="s">
        <v>88</v>
      </c>
      <c r="D7" s="51">
        <v>2.0059999999999998</v>
      </c>
      <c r="E7" s="51">
        <v>0.59199999999999997</v>
      </c>
      <c r="F7" s="51">
        <f t="shared" si="1"/>
        <v>1.1875519999999997</v>
      </c>
      <c r="G7" s="48" t="s">
        <v>141</v>
      </c>
      <c r="I7" s="50" t="s">
        <v>105</v>
      </c>
      <c r="J7" s="51">
        <v>1.5569999999999999</v>
      </c>
      <c r="K7" s="51">
        <v>0.31</v>
      </c>
      <c r="L7" s="51">
        <f t="shared" si="0"/>
        <v>0.48266999999999999</v>
      </c>
      <c r="M7" s="356" t="s">
        <v>100</v>
      </c>
      <c r="P7" s="52" t="s">
        <v>88</v>
      </c>
      <c r="Q7" s="50">
        <v>2.1</v>
      </c>
      <c r="R7" s="50">
        <v>0.59199999999999997</v>
      </c>
      <c r="S7" s="51">
        <f t="shared" si="2"/>
        <v>1.2432000000000001</v>
      </c>
    </row>
    <row r="8" spans="3:19" ht="15.75" x14ac:dyDescent="0.25">
      <c r="C8" s="50" t="s">
        <v>88</v>
      </c>
      <c r="D8" s="51">
        <v>2.0059999999999998</v>
      </c>
      <c r="E8" s="51">
        <v>0.59199999999999997</v>
      </c>
      <c r="F8" s="51">
        <f t="shared" si="1"/>
        <v>1.1875519999999997</v>
      </c>
      <c r="G8" s="48" t="s">
        <v>141</v>
      </c>
      <c r="I8" s="50" t="s">
        <v>105</v>
      </c>
      <c r="J8" s="51">
        <v>1.5569999999999999</v>
      </c>
      <c r="K8" s="51">
        <v>0.31</v>
      </c>
      <c r="L8" s="51">
        <f t="shared" si="0"/>
        <v>0.48266999999999999</v>
      </c>
      <c r="M8" s="357"/>
      <c r="P8" s="52" t="s">
        <v>88</v>
      </c>
      <c r="Q8" s="50">
        <v>2.1</v>
      </c>
      <c r="R8" s="50">
        <v>0.59199999999999997</v>
      </c>
      <c r="S8" s="51">
        <f t="shared" si="2"/>
        <v>1.2432000000000001</v>
      </c>
    </row>
    <row r="9" spans="3:19" ht="15.75" x14ac:dyDescent="0.25">
      <c r="C9" s="50" t="s">
        <v>99</v>
      </c>
      <c r="D9" s="51">
        <v>1.103</v>
      </c>
      <c r="E9" s="51">
        <v>0.373</v>
      </c>
      <c r="F9" s="51">
        <f t="shared" si="1"/>
        <v>0.41141899999999998</v>
      </c>
      <c r="G9" s="48" t="s">
        <v>100</v>
      </c>
      <c r="I9" s="50" t="s">
        <v>106</v>
      </c>
      <c r="J9" s="51">
        <v>0.755</v>
      </c>
      <c r="K9" s="51">
        <v>0.31</v>
      </c>
      <c r="L9" s="51">
        <f t="shared" si="0"/>
        <v>0.23405000000000001</v>
      </c>
      <c r="M9" s="356" t="s">
        <v>100</v>
      </c>
      <c r="P9" s="52" t="s">
        <v>89</v>
      </c>
      <c r="Q9" s="50">
        <v>2.7090000000000001</v>
      </c>
      <c r="R9" s="50">
        <v>1.254</v>
      </c>
      <c r="S9" s="51">
        <f t="shared" si="2"/>
        <v>3.3970860000000003</v>
      </c>
    </row>
    <row r="10" spans="3:19" ht="15.75" x14ac:dyDescent="0.25">
      <c r="C10" s="50" t="s">
        <v>89</v>
      </c>
      <c r="D10" s="51">
        <v>2.7010000000000001</v>
      </c>
      <c r="E10" s="51">
        <v>1.1080000000000001</v>
      </c>
      <c r="F10" s="51">
        <f t="shared" si="1"/>
        <v>2.9927080000000004</v>
      </c>
      <c r="G10" s="48" t="s">
        <v>141</v>
      </c>
      <c r="I10" s="50" t="s">
        <v>106</v>
      </c>
      <c r="J10" s="51">
        <v>0.755</v>
      </c>
      <c r="K10" s="51">
        <v>0.31</v>
      </c>
      <c r="L10" s="51">
        <f t="shared" si="0"/>
        <v>0.23405000000000001</v>
      </c>
      <c r="M10" s="357"/>
      <c r="P10" s="52" t="s">
        <v>90</v>
      </c>
      <c r="Q10" s="50">
        <v>2.7080000000000002</v>
      </c>
      <c r="R10" s="50">
        <v>1.2529999999999999</v>
      </c>
      <c r="S10" s="51">
        <f t="shared" si="2"/>
        <v>3.3931239999999998</v>
      </c>
    </row>
    <row r="11" spans="3:19" ht="15.75" x14ac:dyDescent="0.25">
      <c r="C11" s="50" t="s">
        <v>90</v>
      </c>
      <c r="D11" s="51">
        <v>2.4079999999999999</v>
      </c>
      <c r="E11" s="51">
        <v>1.1080000000000001</v>
      </c>
      <c r="F11" s="51">
        <f t="shared" si="1"/>
        <v>2.6680640000000002</v>
      </c>
      <c r="G11" s="48" t="s">
        <v>141</v>
      </c>
      <c r="I11" s="50" t="s">
        <v>107</v>
      </c>
      <c r="J11" s="51">
        <v>1.907</v>
      </c>
      <c r="K11" s="51">
        <v>0.31</v>
      </c>
      <c r="L11" s="51">
        <f t="shared" si="0"/>
        <v>0.59116999999999997</v>
      </c>
      <c r="M11" s="356" t="s">
        <v>100</v>
      </c>
      <c r="P11" s="52" t="s">
        <v>91</v>
      </c>
      <c r="Q11" s="50">
        <v>2.6</v>
      </c>
      <c r="R11" s="50">
        <v>1.2490000000000001</v>
      </c>
      <c r="S11" s="51">
        <f t="shared" si="2"/>
        <v>3.2474000000000003</v>
      </c>
    </row>
    <row r="12" spans="3:19" ht="15.75" x14ac:dyDescent="0.25">
      <c r="C12" s="50" t="s">
        <v>101</v>
      </c>
      <c r="D12" s="51">
        <v>2.2559999999999998</v>
      </c>
      <c r="E12" s="51">
        <v>0.70599999999999996</v>
      </c>
      <c r="F12" s="51">
        <f t="shared" si="1"/>
        <v>1.5927359999999997</v>
      </c>
      <c r="G12" s="48" t="s">
        <v>142</v>
      </c>
      <c r="I12" s="50" t="s">
        <v>107</v>
      </c>
      <c r="J12" s="51">
        <v>1.907</v>
      </c>
      <c r="K12" s="51">
        <v>0.31</v>
      </c>
      <c r="L12" s="51">
        <f t="shared" si="0"/>
        <v>0.59116999999999997</v>
      </c>
      <c r="M12" s="357"/>
      <c r="P12" s="52" t="s">
        <v>92</v>
      </c>
      <c r="Q12" s="50">
        <v>2.6</v>
      </c>
      <c r="R12" s="50">
        <v>1.25</v>
      </c>
      <c r="S12" s="51">
        <f t="shared" si="2"/>
        <v>3.25</v>
      </c>
    </row>
    <row r="13" spans="3:19" ht="15.75" x14ac:dyDescent="0.25">
      <c r="C13" s="50" t="s">
        <v>101</v>
      </c>
      <c r="D13" s="51">
        <v>2.2559999999999998</v>
      </c>
      <c r="E13" s="51">
        <v>0.70599999999999996</v>
      </c>
      <c r="F13" s="51">
        <f t="shared" si="1"/>
        <v>1.5927359999999997</v>
      </c>
      <c r="G13" s="48" t="s">
        <v>142</v>
      </c>
      <c r="I13" s="50" t="s">
        <v>108</v>
      </c>
      <c r="J13" s="51">
        <v>1.2030000000000001</v>
      </c>
      <c r="K13" s="51">
        <v>0.31</v>
      </c>
      <c r="L13" s="51">
        <f t="shared" si="0"/>
        <v>0.37293000000000004</v>
      </c>
      <c r="M13" s="356" t="s">
        <v>100</v>
      </c>
      <c r="P13" s="52" t="s">
        <v>93</v>
      </c>
      <c r="Q13" s="50">
        <v>2.4039999999999999</v>
      </c>
      <c r="R13" s="50">
        <v>0.59499999999999997</v>
      </c>
      <c r="S13" s="51">
        <f t="shared" si="2"/>
        <v>1.43038</v>
      </c>
    </row>
    <row r="14" spans="3:19" ht="15.75" x14ac:dyDescent="0.25">
      <c r="C14" s="50" t="s">
        <v>120</v>
      </c>
      <c r="D14" s="51">
        <v>2.2519999999999998</v>
      </c>
      <c r="E14" s="51">
        <v>1.0389999999999999</v>
      </c>
      <c r="F14" s="51">
        <f t="shared" si="1"/>
        <v>2.3398279999999998</v>
      </c>
      <c r="G14" s="48" t="s">
        <v>121</v>
      </c>
      <c r="I14" s="50" t="s">
        <v>108</v>
      </c>
      <c r="J14" s="51">
        <v>1.2030000000000001</v>
      </c>
      <c r="K14" s="51">
        <v>0.31</v>
      </c>
      <c r="L14" s="51">
        <f t="shared" si="0"/>
        <v>0.37293000000000004</v>
      </c>
      <c r="M14" s="357"/>
      <c r="P14" s="52" t="s">
        <v>94</v>
      </c>
      <c r="Q14" s="50">
        <v>2.8</v>
      </c>
      <c r="R14" s="50">
        <v>1.2</v>
      </c>
      <c r="S14" s="51">
        <f t="shared" si="2"/>
        <v>3.36</v>
      </c>
    </row>
    <row r="15" spans="3:19" ht="15.75" x14ac:dyDescent="0.25">
      <c r="C15" s="50" t="s">
        <v>122</v>
      </c>
      <c r="D15" s="51">
        <v>2.8</v>
      </c>
      <c r="E15" s="51">
        <v>0.92500000000000004</v>
      </c>
      <c r="F15" s="51">
        <f t="shared" si="1"/>
        <v>2.59</v>
      </c>
      <c r="G15" s="48" t="s">
        <v>121</v>
      </c>
      <c r="I15" s="50" t="s">
        <v>109</v>
      </c>
      <c r="J15" s="51">
        <v>1.9</v>
      </c>
      <c r="K15" s="51">
        <v>0.31</v>
      </c>
      <c r="L15" s="51">
        <f t="shared" si="0"/>
        <v>0.58899999999999997</v>
      </c>
      <c r="M15" s="356" t="s">
        <v>100</v>
      </c>
      <c r="P15" s="52" t="s">
        <v>95</v>
      </c>
      <c r="Q15" s="50">
        <v>2.8</v>
      </c>
      <c r="R15" s="50">
        <v>1.2</v>
      </c>
      <c r="S15" s="51">
        <f t="shared" si="2"/>
        <v>3.36</v>
      </c>
    </row>
    <row r="16" spans="3:19" ht="15.75" x14ac:dyDescent="0.25">
      <c r="C16" s="50" t="s">
        <v>102</v>
      </c>
      <c r="D16" s="51">
        <v>1.5029999999999999</v>
      </c>
      <c r="E16" s="51">
        <v>0.373</v>
      </c>
      <c r="F16" s="51">
        <f t="shared" si="1"/>
        <v>0.56061899999999998</v>
      </c>
      <c r="G16" s="48" t="s">
        <v>100</v>
      </c>
      <c r="I16" s="50" t="s">
        <v>109</v>
      </c>
      <c r="J16" s="51">
        <v>1.9</v>
      </c>
      <c r="K16" s="51">
        <v>0.31</v>
      </c>
      <c r="L16" s="51">
        <f t="shared" si="0"/>
        <v>0.58899999999999997</v>
      </c>
      <c r="M16" s="357"/>
      <c r="P16" s="52" t="s">
        <v>96</v>
      </c>
      <c r="Q16" s="50">
        <v>2.2029999999999998</v>
      </c>
      <c r="R16" s="50">
        <v>0.59199999999999997</v>
      </c>
      <c r="S16" s="51">
        <f t="shared" si="2"/>
        <v>1.3041759999999998</v>
      </c>
    </row>
    <row r="17" spans="3:19" ht="15.75" x14ac:dyDescent="0.25">
      <c r="C17" s="50" t="s">
        <v>123</v>
      </c>
      <c r="D17" s="51">
        <v>2.5979999999999999</v>
      </c>
      <c r="E17" s="51">
        <v>1.1439999999999999</v>
      </c>
      <c r="F17" s="51">
        <f t="shared" si="1"/>
        <v>2.9721119999999996</v>
      </c>
      <c r="G17" s="48" t="s">
        <v>124</v>
      </c>
      <c r="I17" s="50" t="s">
        <v>110</v>
      </c>
      <c r="J17" s="51">
        <v>1.909</v>
      </c>
      <c r="K17" s="51">
        <v>0.31</v>
      </c>
      <c r="L17" s="51">
        <f t="shared" si="0"/>
        <v>0.59179000000000004</v>
      </c>
      <c r="M17" s="356" t="s">
        <v>100</v>
      </c>
      <c r="P17" s="52" t="s">
        <v>97</v>
      </c>
      <c r="Q17" s="50">
        <v>2.8079999999999998</v>
      </c>
      <c r="R17" s="50">
        <v>1.2490000000000001</v>
      </c>
      <c r="S17" s="51">
        <f t="shared" si="2"/>
        <v>3.5071920000000003</v>
      </c>
    </row>
    <row r="18" spans="3:19" ht="15.75" x14ac:dyDescent="0.25">
      <c r="C18" s="50" t="s">
        <v>91</v>
      </c>
      <c r="D18" s="51">
        <v>2.7</v>
      </c>
      <c r="E18" s="51">
        <v>1.1579999999999999</v>
      </c>
      <c r="F18" s="51">
        <f t="shared" si="1"/>
        <v>3.1265999999999998</v>
      </c>
      <c r="G18" s="48" t="s">
        <v>141</v>
      </c>
      <c r="I18" s="50" t="s">
        <v>110</v>
      </c>
      <c r="J18" s="51">
        <v>1.909</v>
      </c>
      <c r="K18" s="51">
        <v>0.31</v>
      </c>
      <c r="L18" s="51">
        <f t="shared" si="0"/>
        <v>0.59179000000000004</v>
      </c>
      <c r="M18" s="357"/>
      <c r="P18" s="52" t="s">
        <v>98</v>
      </c>
      <c r="Q18" s="50">
        <v>2.3039999999999998</v>
      </c>
      <c r="R18" s="50">
        <v>1.1439999999999999</v>
      </c>
      <c r="S18" s="51">
        <f t="shared" si="2"/>
        <v>2.6357759999999995</v>
      </c>
    </row>
    <row r="19" spans="3:19" ht="15.75" x14ac:dyDescent="0.25">
      <c r="C19" s="50" t="s">
        <v>92</v>
      </c>
      <c r="D19" s="51">
        <v>2.7</v>
      </c>
      <c r="E19" s="51">
        <v>1.1579999999999999</v>
      </c>
      <c r="F19" s="51">
        <f t="shared" si="1"/>
        <v>3.1265999999999998</v>
      </c>
      <c r="G19" s="48" t="s">
        <v>141</v>
      </c>
      <c r="I19" s="50" t="s">
        <v>111</v>
      </c>
      <c r="J19" s="51">
        <v>1.804</v>
      </c>
      <c r="K19" s="51">
        <v>0.31</v>
      </c>
      <c r="L19" s="51">
        <f t="shared" si="0"/>
        <v>0.55923999999999996</v>
      </c>
      <c r="M19" s="48" t="s">
        <v>100</v>
      </c>
      <c r="P19" s="62" t="s">
        <v>149</v>
      </c>
      <c r="Q19" s="59"/>
      <c r="R19" s="59"/>
      <c r="S19" s="58">
        <v>38.18</v>
      </c>
    </row>
    <row r="20" spans="3:19" x14ac:dyDescent="0.25">
      <c r="C20" s="50" t="s">
        <v>93</v>
      </c>
      <c r="D20" s="51">
        <v>2.0059999999999998</v>
      </c>
      <c r="E20" s="51">
        <v>0.59199999999999997</v>
      </c>
      <c r="F20" s="51">
        <f t="shared" si="1"/>
        <v>1.1875519999999997</v>
      </c>
      <c r="G20" s="48" t="s">
        <v>141</v>
      </c>
      <c r="I20" s="50" t="s">
        <v>112</v>
      </c>
      <c r="J20" s="51">
        <v>0.90100000000000002</v>
      </c>
      <c r="K20" s="51">
        <v>0.31</v>
      </c>
      <c r="L20" s="51">
        <f t="shared" si="0"/>
        <v>0.27931</v>
      </c>
      <c r="M20" s="48" t="s">
        <v>100</v>
      </c>
    </row>
    <row r="21" spans="3:19" x14ac:dyDescent="0.25">
      <c r="C21" s="50" t="s">
        <v>125</v>
      </c>
      <c r="D21" s="51">
        <v>2.5009999999999999</v>
      </c>
      <c r="E21" s="51">
        <v>0.92500000000000004</v>
      </c>
      <c r="F21" s="51">
        <f t="shared" si="1"/>
        <v>2.3134250000000001</v>
      </c>
      <c r="G21" s="48" t="s">
        <v>124</v>
      </c>
      <c r="I21" s="50" t="s">
        <v>113</v>
      </c>
      <c r="J21" s="51">
        <v>0.70799999999999996</v>
      </c>
      <c r="K21" s="51">
        <v>0.31</v>
      </c>
      <c r="L21" s="51">
        <f t="shared" si="0"/>
        <v>0.21947999999999998</v>
      </c>
      <c r="M21" s="48" t="s">
        <v>100</v>
      </c>
    </row>
    <row r="22" spans="3:19" x14ac:dyDescent="0.25">
      <c r="C22" s="50" t="s">
        <v>126</v>
      </c>
      <c r="D22" s="51">
        <v>2.6179999999999999</v>
      </c>
      <c r="E22" s="51">
        <v>1.363</v>
      </c>
      <c r="F22" s="51">
        <f t="shared" si="1"/>
        <v>3.5683339999999997</v>
      </c>
      <c r="G22" s="48" t="s">
        <v>127</v>
      </c>
      <c r="I22" s="50" t="s">
        <v>114</v>
      </c>
      <c r="J22" s="51">
        <v>0.80700000000000005</v>
      </c>
      <c r="K22" s="51">
        <v>0.31</v>
      </c>
      <c r="L22" s="51">
        <f t="shared" si="0"/>
        <v>0.25017</v>
      </c>
      <c r="M22" s="356" t="s">
        <v>100</v>
      </c>
    </row>
    <row r="23" spans="3:19" x14ac:dyDescent="0.25">
      <c r="C23" s="50" t="s">
        <v>94</v>
      </c>
      <c r="D23" s="51">
        <v>2.8</v>
      </c>
      <c r="E23" s="51">
        <v>1.258</v>
      </c>
      <c r="F23" s="51">
        <f t="shared" si="1"/>
        <v>3.5223999999999998</v>
      </c>
      <c r="G23" s="48" t="s">
        <v>141</v>
      </c>
      <c r="I23" s="50" t="s">
        <v>114</v>
      </c>
      <c r="J23" s="51">
        <v>0.80700000000000005</v>
      </c>
      <c r="K23" s="51">
        <v>0.31</v>
      </c>
      <c r="L23" s="51">
        <f t="shared" si="0"/>
        <v>0.25017</v>
      </c>
      <c r="M23" s="357"/>
    </row>
    <row r="24" spans="3:19" x14ac:dyDescent="0.25">
      <c r="C24" s="50" t="s">
        <v>95</v>
      </c>
      <c r="D24" s="51">
        <v>2.8</v>
      </c>
      <c r="E24" s="51">
        <v>1.258</v>
      </c>
      <c r="F24" s="51">
        <f t="shared" si="1"/>
        <v>3.5223999999999998</v>
      </c>
      <c r="G24" s="48" t="s">
        <v>141</v>
      </c>
      <c r="I24" s="50" t="s">
        <v>115</v>
      </c>
      <c r="J24" s="51">
        <v>1.8520000000000001</v>
      </c>
      <c r="K24" s="51">
        <v>0.48499999999999999</v>
      </c>
      <c r="L24" s="51">
        <f t="shared" si="0"/>
        <v>0.89822000000000002</v>
      </c>
      <c r="M24" s="356" t="s">
        <v>100</v>
      </c>
    </row>
    <row r="25" spans="3:19" x14ac:dyDescent="0.25">
      <c r="C25" s="50" t="s">
        <v>96</v>
      </c>
      <c r="D25" s="51">
        <v>2.15</v>
      </c>
      <c r="E25" s="51">
        <v>0.59199999999999997</v>
      </c>
      <c r="F25" s="51">
        <f t="shared" si="1"/>
        <v>1.2727999999999999</v>
      </c>
      <c r="G25" s="48" t="s">
        <v>141</v>
      </c>
      <c r="I25" s="50" t="s">
        <v>115</v>
      </c>
      <c r="J25" s="51">
        <v>1.8520000000000001</v>
      </c>
      <c r="K25" s="51">
        <v>0.48499999999999999</v>
      </c>
      <c r="L25" s="51">
        <f t="shared" si="0"/>
        <v>0.89822000000000002</v>
      </c>
      <c r="M25" s="357"/>
    </row>
    <row r="26" spans="3:19" x14ac:dyDescent="0.25">
      <c r="C26" s="50" t="s">
        <v>128</v>
      </c>
      <c r="D26" s="51">
        <v>2.9279999999999999</v>
      </c>
      <c r="E26" s="51">
        <v>1.1439999999999999</v>
      </c>
      <c r="F26" s="51">
        <f t="shared" si="1"/>
        <v>3.3496319999999997</v>
      </c>
      <c r="G26" s="48" t="s">
        <v>127</v>
      </c>
      <c r="I26" s="50" t="s">
        <v>116</v>
      </c>
      <c r="J26" s="51">
        <v>0.90100000000000002</v>
      </c>
      <c r="K26" s="51">
        <v>0.48499999999999999</v>
      </c>
      <c r="L26" s="51">
        <f t="shared" si="0"/>
        <v>0.43698500000000001</v>
      </c>
      <c r="M26" s="356" t="s">
        <v>100</v>
      </c>
    </row>
    <row r="27" spans="3:19" x14ac:dyDescent="0.25">
      <c r="C27" s="50" t="s">
        <v>129</v>
      </c>
      <c r="D27" s="51">
        <v>2.9279999999999999</v>
      </c>
      <c r="E27" s="51">
        <v>1.1439999999999999</v>
      </c>
      <c r="F27" s="51">
        <f t="shared" si="1"/>
        <v>3.3496319999999997</v>
      </c>
      <c r="G27" s="48" t="s">
        <v>127</v>
      </c>
      <c r="I27" s="50" t="s">
        <v>116</v>
      </c>
      <c r="J27" s="51">
        <v>0.90100000000000002</v>
      </c>
      <c r="K27" s="51">
        <v>0.48499999999999999</v>
      </c>
      <c r="L27" s="51">
        <f t="shared" si="0"/>
        <v>0.43698500000000001</v>
      </c>
      <c r="M27" s="357"/>
    </row>
    <row r="28" spans="3:19" x14ac:dyDescent="0.25">
      <c r="C28" s="50" t="s">
        <v>130</v>
      </c>
      <c r="D28" s="51">
        <v>2.9279999999999999</v>
      </c>
      <c r="E28" s="51">
        <v>1.258</v>
      </c>
      <c r="F28" s="51">
        <f t="shared" si="1"/>
        <v>3.683424</v>
      </c>
      <c r="G28" s="48" t="s">
        <v>121</v>
      </c>
      <c r="I28" s="50" t="s">
        <v>117</v>
      </c>
      <c r="J28" s="51">
        <v>0.90100000000000002</v>
      </c>
      <c r="K28" s="51">
        <v>0.48499999999999999</v>
      </c>
      <c r="L28" s="51">
        <f t="shared" si="0"/>
        <v>0.43698500000000001</v>
      </c>
      <c r="M28" s="356" t="s">
        <v>100</v>
      </c>
    </row>
    <row r="29" spans="3:19" x14ac:dyDescent="0.25">
      <c r="C29" s="50" t="s">
        <v>131</v>
      </c>
      <c r="D29" s="51">
        <v>2.4620000000000002</v>
      </c>
      <c r="E29" s="51">
        <v>1.258</v>
      </c>
      <c r="F29" s="51">
        <f t="shared" si="1"/>
        <v>3.0971960000000003</v>
      </c>
      <c r="G29" s="48" t="s">
        <v>121</v>
      </c>
      <c r="I29" s="50" t="s">
        <v>117</v>
      </c>
      <c r="J29" s="51">
        <v>0.90100000000000002</v>
      </c>
      <c r="K29" s="51">
        <v>0.48499999999999999</v>
      </c>
      <c r="L29" s="51">
        <f t="shared" si="0"/>
        <v>0.43698500000000001</v>
      </c>
      <c r="M29" s="357"/>
    </row>
    <row r="30" spans="3:19" x14ac:dyDescent="0.25">
      <c r="C30" s="50" t="s">
        <v>97</v>
      </c>
      <c r="D30" s="51">
        <v>2.4590000000000001</v>
      </c>
      <c r="E30" s="51">
        <v>1.1439999999999999</v>
      </c>
      <c r="F30" s="51">
        <f t="shared" si="1"/>
        <v>2.8130959999999998</v>
      </c>
      <c r="G30" s="48" t="s">
        <v>141</v>
      </c>
      <c r="I30" s="50" t="s">
        <v>132</v>
      </c>
      <c r="J30" s="51">
        <v>3.55</v>
      </c>
      <c r="K30" s="51">
        <v>0.69599999999999995</v>
      </c>
      <c r="L30" s="51">
        <f t="shared" si="0"/>
        <v>2.4707999999999997</v>
      </c>
      <c r="M30" s="48" t="s">
        <v>104</v>
      </c>
    </row>
    <row r="31" spans="3:19" x14ac:dyDescent="0.25">
      <c r="I31" s="50" t="s">
        <v>118</v>
      </c>
      <c r="J31" s="51">
        <v>3.0009999999999999</v>
      </c>
      <c r="K31" s="51">
        <v>0.434</v>
      </c>
      <c r="L31" s="51">
        <f t="shared" si="0"/>
        <v>1.3024339999999999</v>
      </c>
      <c r="M31" s="48" t="s">
        <v>104</v>
      </c>
    </row>
    <row r="32" spans="3:19" x14ac:dyDescent="0.25">
      <c r="I32" s="58" t="s">
        <v>149</v>
      </c>
      <c r="J32" s="59"/>
      <c r="K32" s="59"/>
      <c r="L32" s="60">
        <v>81.91</v>
      </c>
      <c r="M32" s="61"/>
    </row>
  </sheetData>
  <mergeCells count="13">
    <mergeCell ref="C3:G3"/>
    <mergeCell ref="I3:M3"/>
    <mergeCell ref="P3:S3"/>
    <mergeCell ref="M17:M18"/>
    <mergeCell ref="M22:M23"/>
    <mergeCell ref="M24:M25"/>
    <mergeCell ref="M26:M27"/>
    <mergeCell ref="M28:M29"/>
    <mergeCell ref="M7:M8"/>
    <mergeCell ref="M9:M10"/>
    <mergeCell ref="M11:M12"/>
    <mergeCell ref="M13:M14"/>
    <mergeCell ref="M15:M16"/>
  </mergeCells>
  <phoneticPr fontId="7" type="noConversion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4</vt:i4>
      </vt:variant>
    </vt:vector>
  </HeadingPairs>
  <TitlesOfParts>
    <vt:vector size="9" baseType="lpstr">
      <vt:lpstr>Planilha_Orçamentaria_183</vt:lpstr>
      <vt:lpstr>Cronograma fisico financeiro</vt:lpstr>
      <vt:lpstr>Cron, de desembolso</vt:lpstr>
      <vt:lpstr>Memorial de calculo</vt:lpstr>
      <vt:lpstr>Resumo placas</vt:lpstr>
      <vt:lpstr>'Cron, de desembolso'!Area_de_impressao</vt:lpstr>
      <vt:lpstr>'Cronograma fisico financeiro'!Area_de_impressao</vt:lpstr>
      <vt:lpstr>'Memorial de calculo'!Area_de_impressao</vt:lpstr>
      <vt:lpstr>Planilha_Orçamentaria_183!Area_de_impressao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lazaro</dc:creator>
  <cp:lastModifiedBy>Licitacao01</cp:lastModifiedBy>
  <cp:lastPrinted>2021-11-25T17:40:01Z</cp:lastPrinted>
  <dcterms:created xsi:type="dcterms:W3CDTF">2021-10-01T00:39:24Z</dcterms:created>
  <dcterms:modified xsi:type="dcterms:W3CDTF">2022-04-26T14:08:22Z</dcterms:modified>
</cp:coreProperties>
</file>